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455" activeTab="3"/>
  </bookViews>
  <sheets>
    <sheet name="Planf E15" sheetId="1" r:id="rId1"/>
    <sheet name="P.EST 16" sheetId="2" r:id="rId2"/>
    <sheet name="Met-Ind" sheetId="3" r:id="rId3"/>
    <sheet name="poa 2016 eval 2do Cuatri" sheetId="4" r:id="rId4"/>
    <sheet name="POA EJ dic 2014 " sheetId="5" state="hidden" r:id="rId5"/>
  </sheets>
  <definedNames>
    <definedName name="_xlnm.Print_Area" localSheetId="0">'Planf E15'!$A$1:$J$33</definedName>
    <definedName name="_xlnm.Print_Area" localSheetId="3">'poa 2016 eval 2do Cuatri'!$B$1:$AK$92</definedName>
    <definedName name="_xlnm.Print_Area" localSheetId="4">'POA EJ dic 2014 '!$A$20:$K$27</definedName>
    <definedName name="_xlnm.Print_Titles" localSheetId="3">'poa 2016 eval 2do Cuatri'!$8:$10</definedName>
  </definedNames>
  <calcPr fullCalcOnLoad="1"/>
</workbook>
</file>

<file path=xl/sharedStrings.xml><?xml version="1.0" encoding="utf-8"?>
<sst xmlns="http://schemas.openxmlformats.org/spreadsheetml/2006/main" count="1775" uniqueCount="683">
  <si>
    <t>PROGRAMACIÓN ANUAL DE LA POLÍTICA PÚBLICA 2014</t>
  </si>
  <si>
    <t xml:space="preserve">                                     </t>
  </si>
  <si>
    <t>UNIDAD EJECUTORA: HOSPITAL VICENTE CORRAL MOSCOSO</t>
  </si>
  <si>
    <t xml:space="preserve">                      </t>
  </si>
  <si>
    <t>ESTRUCTURA PRESUPUESTARIA</t>
  </si>
  <si>
    <t>PLANIFICACIÓN TÉCNICA</t>
  </si>
  <si>
    <t>EVALUACIÓN</t>
  </si>
  <si>
    <t>PROGRAMA ESIGEF</t>
  </si>
  <si>
    <t>PROYECTO ESIGEF</t>
  </si>
  <si>
    <t>ACTIVIDAD ESIGEF</t>
  </si>
  <si>
    <t>OBJETIVOS OPERATIVOS</t>
  </si>
  <si>
    <t>ACTIVIDADES TÉCNICAS</t>
  </si>
  <si>
    <t>NIVEL DONDE SE EJECUTA LA ACTIVIDAD CON PRESUPUESTO</t>
  </si>
  <si>
    <t>INDICADOR DE GESTIÓN</t>
  </si>
  <si>
    <t>LÍNEA BASE DEL INDICADOR AL 2013 EN NÚMERO</t>
  </si>
  <si>
    <t>META EN NÚMERO DEL INDICADOR (PROPUESTA O ESPERADA AL 2014)</t>
  </si>
  <si>
    <t>DESCRIPCIÓN DE META ANUAL A NIVEL DE UNIDAD EJECUTORA</t>
  </si>
  <si>
    <t xml:space="preserve">PRESUPUESTO </t>
  </si>
  <si>
    <t>AVANCE MENSUAL DE LA META TECNICA EN NUMERO</t>
  </si>
  <si>
    <t>RESPONSABLE/ES</t>
  </si>
  <si>
    <t>OBSERVACIONES</t>
  </si>
  <si>
    <t xml:space="preserve">OBJETIVO ESTRATÉGICO INSTITUCIONAL 1.- INCREMENTAR  LOS MECANISMOS PARA LA IMPLEMENTACIÓN DEL MODELO  DE GESTIÓN EN EL MINISTERIO DE SALUD PÚBLICA. </t>
  </si>
  <si>
    <t>OBJETIVO ESTRATÉGICO INSTITUCIONAL 2.- INCREMENTAR LAS CAPACIDADES Y COMPETENCIAS DEL TALENTO HUMANO.</t>
  </si>
  <si>
    <t>´</t>
  </si>
  <si>
    <t>OBJETIVO ESTRATÉGICO INSTITUCIONAL 3.- INCREMENTAR LA EFICIENCIA, EFICACIA Y CALIDAD DE LAS ACTIVIDADES OPERATIVAS DEL MINISTERIO DE SALUD PÍBLICA.</t>
  </si>
  <si>
    <t>OBJETIVO ESTRATÉGICO INSTITUCIONAL 4.- INCREMENTAR LA EFICIENCIA Y CALIDAD DEL SISTEMA NACIONAL DE SALUD.</t>
  </si>
  <si>
    <t>OBJETIVO ESTRATÉGICO INSTITUCIONAL 5.- REDUCIR LA BRECHA DE ACCESO UNIVERSAL A LA SALUD.</t>
  </si>
  <si>
    <t>OBJETIVO ESTRATÉGICO INSTITUCIONAL 6.- INCREMENTAR  EL DESARROLLO DE LA CIENCIA Y TECNOLOGÍA EN EL ÁMBITO DE LA SALUD.</t>
  </si>
  <si>
    <t>OBJETIVO ESTRATÉGICO INSTITUCIONAL 7.- INCREMENTAR  LOS NIVELES DE  SEGURIDAD DE LOS PRODUCTOS DE CONSUMO</t>
  </si>
  <si>
    <t>OBJETIVO ESTRATÉGICO INSTITUCIONAL 8.- INCREMENTAR  LA VIGILANCIA, CONTROL, PREVENCIÓN Y PROMOCIÓN DE SALUD.</t>
  </si>
  <si>
    <t>FIRMAS DE RESPONSABILIDAD:</t>
  </si>
  <si>
    <t xml:space="preserve"> </t>
  </si>
  <si>
    <t>MINISTERIO DE SALUD PÚBLICA-SUBSECRETARIA DE PLANIFICACIÓN</t>
  </si>
  <si>
    <t>PROCESO/ SUBPROCESO: HOSPITAL VICENTE CORRAL MOSCOSO</t>
  </si>
  <si>
    <t>DR. OSCAR MIGUEL CHANGO SIGÜENZA</t>
  </si>
  <si>
    <t>Gerencia-Coordinadora de Calidad- Dirección Médica</t>
  </si>
  <si>
    <t>Mejorar la capacidad resolutiva de manejo del sistema de contratación pública del personal responsable</t>
  </si>
  <si>
    <t>Capacitar  a Talento humano como garantìa  del proceso de acreditaciòn del Hospital</t>
  </si>
  <si>
    <t xml:space="preserve">Capacitar  virtualmente a Talento humano </t>
  </si>
  <si>
    <t>Talleres participativos  y proactivos sobre calidad, standares de acreditacion en mòdulos</t>
  </si>
  <si>
    <t>Módulos  por niveles de procesos y competencias.</t>
  </si>
  <si>
    <t>Módulos del SERCOP</t>
  </si>
  <si>
    <t xml:space="preserve">Número de servidores capacitados </t>
  </si>
  <si>
    <t>Curso del SERCOP impartido a través del SECAP mediante módulos dinámicos bajo tutoría durante tres semanas para servidores de la institución, con un mínimo de cumplimiento del 85 % de asistencia y aprobación de 9/10</t>
  </si>
  <si>
    <t>Talleres sobre garantía de calidad, según acreditación Canadá, dirigido al 100 % Talento Humano del Hospital  por procesos, niveles y competencias del puesto</t>
  </si>
  <si>
    <t>Talento Humano- Administrativo financiero</t>
  </si>
  <si>
    <t>Fuentes de verificación: hojas de asistencia, fotos, videos.</t>
  </si>
  <si>
    <t>Fuentes de verificación: hojas de asistencia, facturas de pago, certificados</t>
  </si>
  <si>
    <t>Curso Virtual de Calidad de Atención al usuario interno/externo</t>
  </si>
  <si>
    <t>Módulos de MRL/MSP</t>
  </si>
  <si>
    <t>Curso virtual de Sensibilización sobre Discapacidades</t>
  </si>
  <si>
    <t>Módulos del MSP/SECAP</t>
  </si>
  <si>
    <t>Capacitar al Talento Humano según ámbito de competencias</t>
  </si>
  <si>
    <t>Mejorar los conocimientos de los líderes y coordinadores de Procesos de la estructura Hospitalaria sobre el Modelo de Gestión del MSP</t>
  </si>
  <si>
    <t>Número de reuniones ejecutadas</t>
  </si>
  <si>
    <t>Permanente comunicación con el equipo directivo, coordinador y responsable de procesos y subprocesos, en conocimiento pleno del Modelo de Gestión y de la Estructura organizacional del Hospital</t>
  </si>
  <si>
    <t>Actas de reuniones, ayudas memorias de compromisos de gestión , listas de asistencia</t>
  </si>
  <si>
    <t>Gerencia, Dirección Asistencial</t>
  </si>
  <si>
    <t>Capacitación, pasantía de observación y aprendizaje en el manejo de hemodiálisis</t>
  </si>
  <si>
    <t>Sistema Teórico práctico en pacientes</t>
  </si>
  <si>
    <t>Número de profesionales capacitadas</t>
  </si>
  <si>
    <t xml:space="preserve">Cumplir con el 100 % (80) de horas  de capacitación presenciales teórico-prácticas facilitadas por las instituciones especializadas en hemodiálisis, para mejorar la capacidad resolutiva de las profesionales de enfermería del hospital. </t>
  </si>
  <si>
    <t>Número de horas (80) teórico prácticas cumplidas en capacitación</t>
  </si>
  <si>
    <t>Dra. Toapanta</t>
  </si>
  <si>
    <t>Capacitación en el sistema de Comunicación de Trauma y Emergencia</t>
  </si>
  <si>
    <t xml:space="preserve">Sistema Teórico práctico </t>
  </si>
  <si>
    <t>Manejo estandarizado del sistema de comunicación del Trauma en emergencias a nivel Hospitalario y Pre hospitalario</t>
  </si>
  <si>
    <t>Dirección nacional de Hospitales- Dra. Toapanta</t>
  </si>
  <si>
    <t>Planificación</t>
  </si>
  <si>
    <t>Plan elaborado</t>
  </si>
  <si>
    <t>Mejoramiento del Sistema Elétrico del Hospital</t>
  </si>
  <si>
    <t>Implementación del sistema de ventilación en el Área de Neonatología</t>
  </si>
  <si>
    <t>Mejoramiento del Sistema de calderos del hospital</t>
  </si>
  <si>
    <t>Aplicación de la Marca País en el hospital</t>
  </si>
  <si>
    <t>Remodelación del Laboratorio clínico</t>
  </si>
  <si>
    <t>Mejoramiento del Centro de Trauma y Emergencia</t>
  </si>
  <si>
    <t>Servicios de Especialidades Médicas</t>
  </si>
  <si>
    <t>Número de profesionales contratados</t>
  </si>
  <si>
    <t>10 enfermeras 5 auxiliares de enferemría</t>
  </si>
  <si>
    <t>Requerimientos enviados a Nivel central de acuerdo a necesidades del Proyecto del Centro de Trauma Emergencia, y de las Especialidades Ecuador Saludable, y otros</t>
  </si>
  <si>
    <t>Econ. Ronald Silva - Gerencia</t>
  </si>
  <si>
    <t>Queda pendiente 49 recursos del Centro Emergencia que no se enviaron por falta de presupuesto del Nivel Central</t>
  </si>
  <si>
    <t xml:space="preserve">Contar con talento humano suficiente para brindar atención integral y especializado para brindar atención integral  a los pacientes del hospital </t>
  </si>
  <si>
    <t>Mantenimiento- Infraestructura</t>
  </si>
  <si>
    <t>Proyecto elaborado</t>
  </si>
  <si>
    <t>Requerimiento elaborado</t>
  </si>
  <si>
    <t>Proyecto Centro de Trauma</t>
  </si>
  <si>
    <t>El sistema eléctrico del hospital funcionando al 100 % de su capacidad instalada</t>
  </si>
  <si>
    <t>El sistema de calderos del hospital funcionando al 100 % de su capacidad instalada</t>
  </si>
  <si>
    <t>El Hospital tiene aplicada la imagen de marca país que resalta como institución del estado ecuatoriano</t>
  </si>
  <si>
    <t>El laboratorio brinda atención adecuada a los usuarios externos con una mejor capacidad instalada</t>
  </si>
  <si>
    <t xml:space="preserve">Mejorar la calidad y atención oportuna de los usuarios/as, así como reducir las discapacidades, sus consecuencias y evitar muertes prevenibles provocadas por patologías traumáticas y de emergencia; </t>
  </si>
  <si>
    <t>Falta presupuesto para comenzar total de la obra modificada planos para complementarios: gases, climatización, sistema eléctrico</t>
  </si>
  <si>
    <t>Ing. Yerovi</t>
  </si>
  <si>
    <t>Ing. Ordóñez</t>
  </si>
  <si>
    <t>Ing. Román</t>
  </si>
  <si>
    <t>Ing. Yánez</t>
  </si>
  <si>
    <t>Dr. Cabrera- Dra. Sempértegui</t>
  </si>
  <si>
    <t>Dra. Toapanta- Arq. Súarez</t>
  </si>
  <si>
    <t>Mejorar la calidad de atención al usuario ixterno e interno</t>
  </si>
  <si>
    <t>Fuentes de verificación:  certificados</t>
  </si>
  <si>
    <t>Sensibilizar al Talento Humano sobre las discapacidades</t>
  </si>
  <si>
    <t>Lista de asistentes, certificados</t>
  </si>
  <si>
    <t>Módulos del MSP, y temáticos</t>
  </si>
  <si>
    <t>Capacitar al 100 % de Talento Humano de acuerdo a los diferentes ámbitos de las especialidades y requerimientos del hospital</t>
  </si>
  <si>
    <t>Brindar atención a pacientes en la consulta externa del Hospital</t>
  </si>
  <si>
    <t>Atenciones de consulta externa en las diferentes especialidades</t>
  </si>
  <si>
    <t>Consultorios de las diferentes especialidades</t>
  </si>
  <si>
    <t>Número de atenciones de consulta externa</t>
  </si>
  <si>
    <t>Brindar atención de calidad a los usuarios/as  mediante el sistema de Referencia/ contrarreferencia</t>
  </si>
  <si>
    <t>Brindar atención a pacientes en Trauma- Emergencia del Hospital</t>
  </si>
  <si>
    <t>Atenciones de Trauma y Emergencia en las diferentes especialidades</t>
  </si>
  <si>
    <t xml:space="preserve">Consultorios  Trauma y Emergencia </t>
  </si>
  <si>
    <t>Número de atenciones de Trauma y Emergencia</t>
  </si>
  <si>
    <t>Brindar atención de calidad a los usuarios/as  en el Servicio de Trauma y Emergencia</t>
  </si>
  <si>
    <t>Brindar atención a pacientes en Laboratorio del Hospital</t>
  </si>
  <si>
    <t>Brindar atención a pacientes en Radiología del Hospital</t>
  </si>
  <si>
    <t>Atenciones de Laboratorio del Hospital</t>
  </si>
  <si>
    <t>Servicio de Laboratorio</t>
  </si>
  <si>
    <t>Número de determinaciones Laboratorio</t>
  </si>
  <si>
    <t>Atenciones de Radiología del Hospital</t>
  </si>
  <si>
    <t>Servicio de Radiologia</t>
  </si>
  <si>
    <t>Número de exámenes de Radiologia</t>
  </si>
  <si>
    <t>Brindar atención de calidad a los usuarios/as  en el Servicio de Laboratorio Clínico</t>
  </si>
  <si>
    <t>Brindar atención de calidad a los usuarios/as  en el Servicio de Radiología</t>
  </si>
  <si>
    <t>Brindar atención de Programa Nacional de Banco Sangre del Hospital</t>
  </si>
  <si>
    <t>Atenciones de Donación Voluntaria, Repetitiva y Altruista de Sangre en el Hospital</t>
  </si>
  <si>
    <t>Servicio Banco de Sangre</t>
  </si>
  <si>
    <t>Número de donaciones y transfusiones efectuadas</t>
  </si>
  <si>
    <t>Campañas de donación voluntaria y repetitiva de sangre</t>
  </si>
  <si>
    <t>Número de campañas realizadas</t>
  </si>
  <si>
    <t>Dra. Sandra Peña- Lcda Laura Seminario</t>
  </si>
  <si>
    <t>Atenciones de quirúrgicas en las diferentes especialidades</t>
  </si>
  <si>
    <t>Número de intervenciones quirúrgicas efectuadas</t>
  </si>
  <si>
    <t>Brindar atención de calidad a los usuarios/as  con bioseguridad quirúrgica que garantice al acto operatorio</t>
  </si>
  <si>
    <t>Brindar atención a pacientes en Tomografía del Hospital</t>
  </si>
  <si>
    <t>Atenciones de Tomografía del Hospital</t>
  </si>
  <si>
    <t>Servicio de Tomografia</t>
  </si>
  <si>
    <t>Número de Tomografías efectuadas</t>
  </si>
  <si>
    <t>Brindar atención a pacientes para Mamografías  en el Hospital</t>
  </si>
  <si>
    <t>Atenciones de Mamografías del Hospital</t>
  </si>
  <si>
    <t>Servicio de mamografia</t>
  </si>
  <si>
    <t>Número de mamografías efectuadas</t>
  </si>
  <si>
    <t>Resolver en forma oportuna intervenciones quirúrgicas  en los usuarios/as</t>
  </si>
  <si>
    <t>Endoscopias diagnósticas y ERCP en consultorios y Radiología con profesionales capacitados.</t>
  </si>
  <si>
    <t>Imagenología y quirófano</t>
  </si>
  <si>
    <t>Número de endoscopias y ERCP realizadas</t>
  </si>
  <si>
    <t>Diagnosticar oportunamente patologías gastricas con métodos minimamente invasivos, y tratarlos a menor costo, para mejorar lel pronóstico del paciente</t>
  </si>
  <si>
    <t xml:space="preserve">Médicos especialistas </t>
  </si>
  <si>
    <t>Disminuir la mortalidad materno infantil</t>
  </si>
  <si>
    <t>Atención de parto institucional</t>
  </si>
  <si>
    <t>Atención de cesáreas</t>
  </si>
  <si>
    <t>Centro obstétrico</t>
  </si>
  <si>
    <t>Número de partos atendidos</t>
  </si>
  <si>
    <t>Número de cesáreas atendidas</t>
  </si>
  <si>
    <t>Atender oportunamente los partos a maternas que demandan  el servicio y mediante referencias por riesgo obstétrico</t>
  </si>
  <si>
    <t>Atender oportunamente las cesáreas a maternas que demandan  el servicio y mediante referencias por riesgo obstétrico, reduciendo la mortalidad materno neonatal</t>
  </si>
  <si>
    <t>Atender oportunamente  a los recien nacidos vivos que demandan  el servicio y mediante referencias por riesgo obstétrico, reduciendo la mortalidad neonatal</t>
  </si>
  <si>
    <t>Atención de nacidos vivos</t>
  </si>
  <si>
    <t>Centro obstétrico y quirófano</t>
  </si>
  <si>
    <t>Atención en Neonatología</t>
  </si>
  <si>
    <t>Servicio de Neonatología</t>
  </si>
  <si>
    <t xml:space="preserve">Número de nacidos vivos atendidos </t>
  </si>
  <si>
    <t xml:space="preserve">Número de neonatos atendidos </t>
  </si>
  <si>
    <t xml:space="preserve">Atender oportunamente  a los neonatos que demandan  el servicio y mediante referencias por riesgo neonatal, reduciendo la mortalidad </t>
  </si>
  <si>
    <t>Médicos especilaistas</t>
  </si>
  <si>
    <t>Tamizaje neonatal</t>
  </si>
  <si>
    <t>Servicio de Enfermería- Tamizaje</t>
  </si>
  <si>
    <t>Diagnosticar oportunamente patologías auditivas</t>
  </si>
  <si>
    <t>Tamizaje auditivo por audimetrías e impedanciometrías</t>
  </si>
  <si>
    <t>Servicio de Fonoadudiologia</t>
  </si>
  <si>
    <t>Número de Tamizajes realizados</t>
  </si>
  <si>
    <t>Número de Audiometrías</t>
  </si>
  <si>
    <t>Número de Impedanciometrías</t>
  </si>
  <si>
    <t>Número de emisiones otoacústicas realizadas</t>
  </si>
  <si>
    <t>Determinar tempranamente patologías de oido medio, interno y externo</t>
  </si>
  <si>
    <t>Mantener la vigilancia epidemiológica de todas las enfermedades de acuerdo a las normas y políticas de Salud</t>
  </si>
  <si>
    <t>Reporte de formularios Epi 1, Ep2,  SIVE Alerta, curvas epidemiológicas, informes gerenciales, capacitaciones</t>
  </si>
  <si>
    <t>Epidemiología</t>
  </si>
  <si>
    <t>Número de reportes realizados</t>
  </si>
  <si>
    <t>Dra. Lida Zamora</t>
  </si>
  <si>
    <t>Capacitaciones en situ y en talleres sobre manejo de bioseguridad hospitalaria, lavado de manos, comités de Bioseguridad</t>
  </si>
  <si>
    <t>Saneamiento ambiental- Comité de Bioseguridad</t>
  </si>
  <si>
    <t>Gerencia- Lcda. Lastra</t>
  </si>
  <si>
    <t>Gerencia - Dirección Médica</t>
  </si>
  <si>
    <t>Determinar oportunamente patologias discapacitantes y que causan  mortalidad precoz</t>
  </si>
  <si>
    <t>Reducir la mortalidad brindando atención oportuna en cuidado crítico de pacientes de riesgo alto</t>
  </si>
  <si>
    <t>Atención de pacientes de cuidados críticos</t>
  </si>
  <si>
    <t xml:space="preserve">Número de pacientes de cuidados que egresaron </t>
  </si>
  <si>
    <t>Brindar atención a pacientes de cuidados críticos para reducir la mortalidad en pacientes de riesgo alto</t>
  </si>
  <si>
    <t>Enfermería consulta externa</t>
  </si>
  <si>
    <t>Fonoaudiología</t>
  </si>
  <si>
    <t>Elaboración de situación actual  de necesidades de equipamiento</t>
  </si>
  <si>
    <t>II CUATRIMESTRE</t>
  </si>
  <si>
    <t>III CUATRIMESTRE</t>
  </si>
  <si>
    <t>I CUATRIMESTRE</t>
  </si>
  <si>
    <t>IIV CUATRIMESTRE</t>
  </si>
  <si>
    <t>00</t>
  </si>
  <si>
    <t>004</t>
  </si>
  <si>
    <t>20</t>
  </si>
  <si>
    <t>000</t>
  </si>
  <si>
    <t>21</t>
  </si>
  <si>
    <t>001</t>
  </si>
  <si>
    <t>002</t>
  </si>
  <si>
    <t>50</t>
  </si>
  <si>
    <t>018</t>
  </si>
  <si>
    <t xml:space="preserve">Mejorar la capacidad diagnóstica por métodos enormente invasivos como la endoscopía con tecnología adecuada </t>
  </si>
  <si>
    <t>04</t>
  </si>
  <si>
    <t>Conversatorios, reuniones sobre el modelo de Gestión del MSP, Estructura orgánica, Manual de puestos, Organigrama de procesos y subprocesos.</t>
  </si>
  <si>
    <t>Gerencia, Dirección Asistencial, Coordinadores, Responsables de Procesos y subprocesos, personal operativo</t>
  </si>
  <si>
    <t>Curso a lìderes  y administradores de contrato sobre Compras Públicas con el SECAP, SOAT, Auditoría de Riesgo</t>
  </si>
  <si>
    <t>El área de Neonatologia funcionando  con un sistema de climatimatización acorde a las necesidades de bioseguridad hospitalaria</t>
  </si>
  <si>
    <t>Enero</t>
  </si>
  <si>
    <t>Febrero</t>
  </si>
  <si>
    <t>Marzo</t>
  </si>
  <si>
    <t>Abril</t>
  </si>
  <si>
    <t>Mayo</t>
  </si>
  <si>
    <t>Junio</t>
  </si>
  <si>
    <t>Julio</t>
  </si>
  <si>
    <t>Agosto</t>
  </si>
  <si>
    <t>Septiembre</t>
  </si>
  <si>
    <t>Octubre</t>
  </si>
  <si>
    <t>Noviembre</t>
  </si>
  <si>
    <t>Diciembre</t>
  </si>
  <si>
    <t>El área de quirófano, funcionando con un sistema de climatimatización acorde a las necesidades de bioseguridad hospitalaria</t>
  </si>
  <si>
    <t xml:space="preserve">Implementación del sistema de climatización en el quirófano </t>
  </si>
  <si>
    <t>Dismuinuir el porcentaje de patologías  congénitas que causan discapacidad o mortalidad precoz</t>
  </si>
  <si>
    <t>Servicios de Hospitalización de Especialidades</t>
  </si>
  <si>
    <t>Gerencia- Dirección Médica</t>
  </si>
  <si>
    <t>A través del sistema de Disponibilidad de camas ofertar hospitalización a los usuarios que lo demandan</t>
  </si>
  <si>
    <t>Porcentaje de ocupación de camas</t>
  </si>
  <si>
    <t>GERENTE DEL HOSPITAL VICENTE CORRAL MOSCOSO</t>
  </si>
  <si>
    <t>Porcentaje que se determina la ocupación de camas en relación al total de la disponibidad hospitalaria.</t>
  </si>
  <si>
    <t>Mantener el  porcentaje   de ocupación de camas</t>
  </si>
  <si>
    <t>Proveer de medicamentos a los usuarios externos de acuerdo a las patologías existentes y a la demanda hospitalaria</t>
  </si>
  <si>
    <t>Despacho de recetas en la Consulta externa</t>
  </si>
  <si>
    <t>Despacho de recetas en la Consulta externa de manera oportuna, eficiente y  con eficacia</t>
  </si>
  <si>
    <t>Despacho de recetas en  hospitalización  de manera oportuna, eficiente y  con eficacia</t>
  </si>
  <si>
    <t xml:space="preserve">Despacho de recetas en la Hospitalización </t>
  </si>
  <si>
    <t>Farmacia</t>
  </si>
  <si>
    <t>Número de recetas despachadas</t>
  </si>
  <si>
    <t>Dra. Mónica León</t>
  </si>
  <si>
    <t xml:space="preserve">Implementar  un plan de equipamiento médico acorde a los requimientos de cada servicio con tecnología actualizada </t>
  </si>
  <si>
    <t>100</t>
  </si>
  <si>
    <t>Fuentes de verificación: Certificados archivo en RR. HH.</t>
  </si>
  <si>
    <t>Fuentes de verificación:  certificados capacitación. Son curso virtuales que por el costo minimo en la Institución no se considera, ademas se carece de una Contabilida d eCsotos.</t>
  </si>
  <si>
    <t>Contrato celebrado, obra ejecutándose entregado anticipo posiblemente se concluya en octubre</t>
  </si>
  <si>
    <t>Contrato celebrado, obra ejecutándose entregado anticipo a concluirse en noviembre</t>
  </si>
  <si>
    <t>Contrato celebrado, obra ejecutándose entregado anticipo  se concluya en Noviembre</t>
  </si>
  <si>
    <t>Falta presupuesto para comenzar total de la obra modificada planos para complementarios: gases, climatización, sistema eléctrico. Diversas Gestiones realizadas por gerencia</t>
  </si>
  <si>
    <t>Coordinadores,lideres y responsables de generar informes de la produccion conjutamente con Responsable de Estadística quien consolida</t>
  </si>
  <si>
    <t>Contrato celebrado, obra ejecutándose entregado anticipo en junio, posiblemente se concluya en noviembre por ciertos ajustes en la obra por lo que no se refleja en el devengado</t>
  </si>
  <si>
    <t>ContratoS celebradoS, obra ejecutándosea concluirse en noviembre,y la colocadade piso en dic.</t>
  </si>
  <si>
    <t>TOTAL DE EJECUCION DEL PERIODO PORCENTUAL  %)</t>
  </si>
  <si>
    <t>El presupuesto se encuentra incluído en atención al parto del rubro maternidad y tambien en el programa 20</t>
  </si>
  <si>
    <t>Dr. Marco Palacios</t>
  </si>
  <si>
    <t>Atenciones en àeas de hospitalización con calidad y calidez, eficienia y eficacia aplicando las normas de acreditación Canadá, manteniendo el promedio días estada de 4.3</t>
  </si>
  <si>
    <t xml:space="preserve">Mantener el 4.3 promedio de días estancia en áreas de hospitalizacion </t>
  </si>
  <si>
    <t>Servicio de Pediatría</t>
  </si>
  <si>
    <t>Servicio de Medicina Interna</t>
  </si>
  <si>
    <t>Presupuesto incluye en la produccion de de Pediatría, Medicina Interna, Ginecoobstetricia, Cirugia</t>
  </si>
  <si>
    <t xml:space="preserve">Número de módulos  ejecutados </t>
  </si>
  <si>
    <t>Número de pacientes dados de alta</t>
  </si>
  <si>
    <t>Gestionar la renovación generacional  a través de la Jubilacion</t>
  </si>
  <si>
    <t>Responsable de Docencia e Investigación</t>
  </si>
  <si>
    <t>Queda pendiente 49 recursos del Centro Emergencia que no se enviaron por falta de presupuesto del Nivel Central.  El presupuesto de estas partidas se encuentran incluidas en los costos de producción.</t>
  </si>
  <si>
    <t xml:space="preserve">Pago de jubilación patronal, a trabajadores de contrato colectivo y bono de jubilación a 8 servidores que se retiran en octubre </t>
  </si>
  <si>
    <t>Plan  de requerimientos de talento humano para cubrir brechas para la atención de servicios de salud en el  Proyecto del Centro de Traum;a Emergencia, Neurocirugia, cirugía general, Pediatria, Quirófano, Radiología, Clínica, Traumatolgía.</t>
  </si>
  <si>
    <t>024</t>
  </si>
  <si>
    <t>033</t>
  </si>
  <si>
    <t>Brindar Atención a pacientes con problemas de desnutrición</t>
  </si>
  <si>
    <t>Consulta Externa</t>
  </si>
  <si>
    <t>No. De pacientes atendidos</t>
  </si>
  <si>
    <t>020</t>
  </si>
  <si>
    <t>Atender a pacientes con grado de desnutricion aplicando la referencia y contrareferencia</t>
  </si>
  <si>
    <t>Número de pacientes atendidos</t>
  </si>
  <si>
    <t>Quirofanos</t>
  </si>
  <si>
    <t>Intervenciones quirúrgicas a pacientes que presentan estas patologias</t>
  </si>
  <si>
    <t>Número de cirugias para colocación de protesis de rodillas y caderas</t>
  </si>
  <si>
    <t>Seguimiento de la vigilancia epidemiológica mediante el reporte de formularios de manera oportuna</t>
  </si>
  <si>
    <t>Total meta técnica planificada</t>
  </si>
  <si>
    <t>EVALUACIÓN   META TECNICA</t>
  </si>
  <si>
    <t>Total de meta técnica cumplida</t>
  </si>
  <si>
    <t>PROGRAMACION   MENSUAL PRESUPUESTARIA</t>
  </si>
  <si>
    <t>Total de  la programacion  Presupuestaria</t>
  </si>
  <si>
    <t>Presupuesto  por Indicador</t>
  </si>
  <si>
    <t>PROGRAMACION PRESUPUESTARIA ANUAL</t>
  </si>
  <si>
    <t>Total de la Ejecución Presupuestaria</t>
  </si>
  <si>
    <t>El presupuesto ejecutado incluye capacitaciones en  situ  y bioseguridad</t>
  </si>
  <si>
    <t>Total metaplanificada anual</t>
  </si>
  <si>
    <t>META EN NÚMERO DEL INDICADOR (Propuesta o   esperada al 2014)</t>
  </si>
  <si>
    <t>Implementar tecnologías de comunicación,docencia e investigación</t>
  </si>
  <si>
    <t>Elaborar plan de personal que cumpla requisitos para su jubilación.</t>
  </si>
  <si>
    <t>Fortalecer los procesos de investigación de acuerdo a prioridades de investigación de salud del MSP.</t>
  </si>
  <si>
    <t>Número de informes de actividades</t>
  </si>
  <si>
    <t>Elaboración de nómina para cancelacion</t>
  </si>
  <si>
    <t>PLANIFICACION  META TECNICA</t>
  </si>
  <si>
    <t>Oficinade Talento Humano</t>
  </si>
  <si>
    <t>077</t>
  </si>
  <si>
    <t>Gestionar  Presupuesto para pago de personaljubilado y que se benefica con la Jubilacin patronal</t>
  </si>
  <si>
    <t>Número de nóminas pagadas</t>
  </si>
  <si>
    <t>Requerimienot a nivel central el presupuesot y el financiamiento respectivo</t>
  </si>
  <si>
    <t>Presupuesto incluye en la produccion de  los diferentes Unidades asistenciales del HVCM</t>
  </si>
  <si>
    <t>Financiado conrecuperación de Costos.</t>
  </si>
  <si>
    <t>Informes de capacitaciones y reuniones de Comités</t>
  </si>
  <si>
    <t>Tomar las mejores decisiones para mejorar la bioseguridad del hospital</t>
  </si>
  <si>
    <t>Sin financiamiento desde el Nivel Central</t>
  </si>
  <si>
    <t>Incluye equipamientocompra microcentrífuga y dosbombas de succin para banco de leche</t>
  </si>
  <si>
    <t>remunera</t>
  </si>
  <si>
    <t>Remuneraciones de audilogas</t>
  </si>
  <si>
    <t>Mejorar la calidad de vida mediante la atenció integral a persona con discapacidad, rehabilitacion y cuidados especiales</t>
  </si>
  <si>
    <t>Líder  De Cirugía</t>
  </si>
  <si>
    <t>Financiamiento para protesiss de rodillas caderas y material de traumatologia. Se incluye compra de bienes larga duracin por $ 3.900</t>
  </si>
  <si>
    <t>Implementar equipos médicos  observando y cumpliendo el decreto 1515</t>
  </si>
  <si>
    <t>Presupuesto que se incluye elcumplimiento de estas metas técnicas</t>
  </si>
  <si>
    <t>Pacientes atendidos en hospitalización y dados de alta</t>
  </si>
  <si>
    <t xml:space="preserve">PERIODO: ENERO - DICIEMBRE  2014 </t>
  </si>
  <si>
    <t>TOTAL PRESUPUESTO EJECUCATO EN OBJETIVO 8</t>
  </si>
  <si>
    <t>Fuentes de verificación: hojas de asistencia, fotos, videos. NO se considera presupuesto por ser capacitación facilitada por servidores de la Institucion y no se mantiene contabilidad de costos</t>
  </si>
  <si>
    <t xml:space="preserve">DRA. SANDRA TOAPANTA </t>
  </si>
  <si>
    <t>RESPONSABLE DE PROYECTOS</t>
  </si>
  <si>
    <t>ING. COM. CORNELIA ILLESCAS</t>
  </si>
  <si>
    <t>PLANIFICACION SEGUIMIENTO Y EVALUACION</t>
  </si>
  <si>
    <t>EJECUIÒN   PRESUPUESTARIA ANUAL</t>
  </si>
  <si>
    <t>EJECUCION   PRESUPUESTARIA   MENSUAL</t>
  </si>
  <si>
    <t>Pagos de contratos del año 2013 que quedaron pendiente de liquidar por vencerse el palzo en el año 2014. y compra s de este año</t>
  </si>
  <si>
    <t>Ing. Marina Valencia</t>
  </si>
  <si>
    <t>Adquisiciones con fondos recuperados por venta de sericios</t>
  </si>
  <si>
    <t>Contrato celebrado, obra ejecutándose entregado anticipo se liquida en novienbre.</t>
  </si>
  <si>
    <t>TOTAL  PRESUPUESTO OBJETIVO 6</t>
  </si>
  <si>
    <t>TOTAL  PRESUPUESTO OBJETIVO 5</t>
  </si>
  <si>
    <t>TOTAL  PRESUPUESTO OBJETIVO 4</t>
  </si>
  <si>
    <t>TOTAL  PRESUPUESTO OBJETIVO 2</t>
  </si>
  <si>
    <t>TOTAL  PRESUPUESTO OBJETIVO 1</t>
  </si>
  <si>
    <t>TOTAL PRESUPUESTO EJECUTADO</t>
  </si>
  <si>
    <t>……………………………………………………………………….</t>
  </si>
  <si>
    <t>Garantizar que se apliquen las normas y procedimientos de bioseguridad</t>
  </si>
  <si>
    <t>Analisis:</t>
  </si>
  <si>
    <t xml:space="preserve">1) </t>
  </si>
  <si>
    <t>En remuneraciones se debe considerar que por el desmontaje de  Talento Humano incremento considerablemente el presupuesto de remuneracioue como consecuencia a ello baja el porcentaje de ejeccion</t>
  </si>
  <si>
    <t>2</t>
  </si>
  <si>
    <t>En cuanto a adquisiciones de bienes y servicios  del programa 20 el % de ejecuion corresponde al 73.97% y se considera que según la responsable de compras publicas el proceso precontractual y contractual se encuentra realizado y en  marcha el pedido de los bienes especialmente de medicinas e insumos para procedimeintos médicos pero los proveedores demoran en su entrega</t>
  </si>
  <si>
    <t>3</t>
  </si>
  <si>
    <t>En lo que se refiere al programa 50 del proyecto 018 se encuentran celebrado contratos y entregados e anticipo el valor de $ 329299 que no se refleja en el devengado, razon por la cual el porcentaje de ejecucion es bajo, ademas el  valor de $111.000 que se envia en mobliliario pero que se realiza reforma para el Centro de Trauma que será utilizado en readecuacion del área física en tanot se facilite los fondos en su totalidad,, que se ha esperado  se asigne en el último trimestre.</t>
  </si>
  <si>
    <t>………………………………………………..</t>
  </si>
  <si>
    <t>……………………………</t>
  </si>
  <si>
    <t>…………………………………………………………………….</t>
  </si>
  <si>
    <t>Disminucion de consultas externaspor falta de especialistas  e implemenatacion del Modelo de Sistema de Atencion Integralde Salud.</t>
  </si>
  <si>
    <t xml:space="preserve">Líder de Emergencia y Estadística </t>
  </si>
  <si>
    <t>Disminucion delporcentaje anualde atención de l89.66% de atención en Emergencia y Triaje por    implemenatacion del Modelo de Sistema de Atencion Integral de Salud en los Establecimientos de primer nivel</t>
  </si>
  <si>
    <t>Líderde Laboratorio y de Estadística</t>
  </si>
  <si>
    <t>Incremento por dispner de tecnología moderna e implementacion del MAIS</t>
  </si>
  <si>
    <t xml:space="preserve">Incremento debido a la implementacion del MAIS, se ha atendido a Establecimientos de primer nivel de la Zonal </t>
  </si>
  <si>
    <t>Líder de Imagenología y Estadística</t>
  </si>
  <si>
    <t>Médicos especialistas  y Estadística</t>
  </si>
  <si>
    <t>Porcentaje de cumplimiento….</t>
  </si>
  <si>
    <t>Líder de GinecoObstericia, Estadística</t>
  </si>
  <si>
    <t>Responsables de Audilogía</t>
  </si>
  <si>
    <t>Intervenciones quirúrgicas para colocacion deprotesis de rodilla y caderas</t>
  </si>
  <si>
    <t>Programa nacional de telemedicina Tele Saldu.</t>
  </si>
  <si>
    <t>Lcda. Elsa Granda</t>
  </si>
  <si>
    <t>Unidad de cuidados críticos adultos pediatrico</t>
  </si>
  <si>
    <t xml:space="preserve">Incremento de demanda </t>
  </si>
  <si>
    <t>Gerencia- Dirección Médica-Estadística</t>
  </si>
  <si>
    <t>n/a</t>
  </si>
  <si>
    <t>Por el costo bajo en material didáctico no se considera  el Presupuesto</t>
  </si>
  <si>
    <t>I  TRIM</t>
  </si>
  <si>
    <t>II  TRIM</t>
  </si>
  <si>
    <t>I  TRIM.</t>
  </si>
  <si>
    <t>I  TRIMES</t>
  </si>
  <si>
    <t>II  TRIMES</t>
  </si>
  <si>
    <t>III  TRIMES</t>
  </si>
  <si>
    <t>III  TRIM</t>
  </si>
  <si>
    <t>IV  TRIMES</t>
  </si>
  <si>
    <t>IV  TRIM</t>
  </si>
  <si>
    <t>IiI  TRIMES</t>
  </si>
  <si>
    <t>PROGRAMACION PRESUPUESTARIA ANUAL EJECUTADA</t>
  </si>
  <si>
    <t>Varios cursoS, Talleres, Congresos,  virtuales y presenciales del MSP, y del Hospital</t>
  </si>
  <si>
    <t>Centro Quirúrgico del Hospital y hospitalización</t>
  </si>
  <si>
    <t>Quirófano del Centro Obstétrico</t>
  </si>
  <si>
    <t>Presupuesto se incluye en Consulta Externa,  dado a que no se puede establecer costos por consulta (sumatoriade mano de obra, materiales,etc.)</t>
  </si>
  <si>
    <t>Incluye costos de toda la Unidad de Imagenologia</t>
  </si>
  <si>
    <t>El porcentaje de ejecución se observa que se deja para el último trimestre</t>
  </si>
  <si>
    <t>…………………………………….</t>
  </si>
  <si>
    <t>……………………………………………………….</t>
  </si>
  <si>
    <t>85</t>
  </si>
  <si>
    <t>90</t>
  </si>
  <si>
    <t xml:space="preserve">1. ALCANZAR EL NIVEL CUMPLIMIENTO DE ESTANDARES DE ACREDITACION EN SALUD DESDE NIVEL ORO A DIAMANTE
</t>
  </si>
  <si>
    <t>2. LOGRAR LA EXPERTICIA Y CONFIABILIDAD DE NUESTROS SERVICIOS ESPECIALIZADOS</t>
  </si>
  <si>
    <t>3. IMPLEMENTAR LAS PRACTICAS ORGANIZACIONALES REQUERIDAS (POR)</t>
  </si>
  <si>
    <t>4. IMPLEMENTAR SERVICIOS ESPECAILIZADOS SEGÚN PLANIFICACION MSP</t>
  </si>
  <si>
    <t>5. OPTIMIZAR LAS REFERENCIAS A SERVICIOS ESPECIALIZADOS</t>
  </si>
  <si>
    <t>6. REDUCIR LA DERIVACION A LA RED COMPLEMENTARIA</t>
  </si>
  <si>
    <t>7. FORTALECER LA TELEMEDICINA Y COMUNICACIÓN CLINICA</t>
  </si>
  <si>
    <t>8. DESARROLLAR HABILIDADES, DESTREZAS Y COMPETENCIAS EN EL AMBITO HOSPITALARIO</t>
  </si>
  <si>
    <t>9. MEJORAR LOS SERVICIOS DE SALUD CON BASE A PROCESOS DE INVESTIGACION</t>
  </si>
  <si>
    <t>1. DESARROLLAR LA EXCELENCIA ORGANIZACIONAL AL 2017</t>
  </si>
  <si>
    <t>2. DESARROLLAR LA EXCELENCIA OPERACIONAL EN LOS SERVICIOS ESPECIALIZADOS AL 2017</t>
  </si>
  <si>
    <t>3. SER UN "HOSPITAL DE ESPECIALIDADES" DE 400 CAMAS</t>
  </si>
  <si>
    <t>4. REORIENTAR EL TRABAJO EN RED</t>
  </si>
  <si>
    <t>5. FORTALECER LA DOCENCIA E INVESTIGACION</t>
  </si>
  <si>
    <t>HOSPITAL VICENTE CORRAL MOSCOSO</t>
  </si>
  <si>
    <t>PLAN ESTRATÉGICO 2014 - 2017</t>
  </si>
  <si>
    <t>EJECUCION PRESUPUESTAL</t>
  </si>
  <si>
    <t xml:space="preserve">OBJETIVOS </t>
  </si>
  <si>
    <t>PROYECTOS</t>
  </si>
  <si>
    <t>ESTRATEGIAS</t>
  </si>
  <si>
    <t>INDICADORES</t>
  </si>
  <si>
    <r>
      <t xml:space="preserve">1.  </t>
    </r>
    <r>
      <rPr>
        <sz val="10"/>
        <color indexed="8"/>
        <rFont val="Tahoma"/>
        <family val="2"/>
      </rPr>
      <t>Crear y mantener una cultura de cuidado</t>
    </r>
  </si>
  <si>
    <t xml:space="preserve">% satisfaccion general de servicios </t>
  </si>
  <si>
    <r>
      <t xml:space="preserve">2. </t>
    </r>
    <r>
      <rPr>
        <sz val="10"/>
        <color indexed="8"/>
        <rFont val="Tahoma"/>
        <family val="2"/>
      </rPr>
      <t>Planificar y diseñar de los servicios</t>
    </r>
  </si>
  <si>
    <t>% cumplimiento de grado de seguridad de paciente</t>
  </si>
  <si>
    <r>
      <t xml:space="preserve">3. </t>
    </r>
    <r>
      <rPr>
        <sz val="10"/>
        <color indexed="8"/>
        <rFont val="Tahoma"/>
        <family val="2"/>
      </rPr>
      <t>Asignar recursos y construir la infraestructura</t>
    </r>
  </si>
  <si>
    <t>% satisfaccion en dotacion del personal</t>
  </si>
  <si>
    <r>
      <t xml:space="preserve">4.  </t>
    </r>
    <r>
      <rPr>
        <sz val="10"/>
        <color indexed="8"/>
        <rFont val="Tahoma"/>
        <family val="2"/>
      </rPr>
      <t>Planificar y preparar en desastres y emergencias</t>
    </r>
  </si>
  <si>
    <t>% porcentaje de ocupacion</t>
  </si>
  <si>
    <r>
      <t>5.</t>
    </r>
    <r>
      <rPr>
        <sz val="10"/>
        <color indexed="8"/>
        <rFont val="Tahoma"/>
        <family val="2"/>
      </rPr>
      <t xml:space="preserve"> Hacer seguimiento y mejoramiento de la calidad y de la seguridad</t>
    </r>
  </si>
  <si>
    <t>% cumplimiento de estandares</t>
  </si>
  <si>
    <t>oro 81%</t>
  </si>
  <si>
    <t xml:space="preserve">oro 95% </t>
  </si>
  <si>
    <t>oro 98%</t>
  </si>
  <si>
    <t>oro 100%</t>
  </si>
  <si>
    <r>
      <rPr>
        <b/>
        <sz val="10"/>
        <color indexed="8"/>
        <rFont val="Tahoma"/>
        <family val="2"/>
      </rPr>
      <t xml:space="preserve">6. </t>
    </r>
    <r>
      <rPr>
        <sz val="10"/>
        <color indexed="8"/>
        <rFont val="Tahoma"/>
        <family val="2"/>
      </rPr>
      <t>Entrenar y certificar en competencias específicas al personal</t>
    </r>
  </si>
  <si>
    <t>Evaluación del desempeño</t>
  </si>
  <si>
    <r>
      <rPr>
        <b/>
        <sz val="10"/>
        <color indexed="8"/>
        <rFont val="Tahoma"/>
        <family val="2"/>
      </rPr>
      <t>7.</t>
    </r>
    <r>
      <rPr>
        <sz val="10"/>
        <color indexed="8"/>
        <rFont val="Tahoma"/>
        <family val="2"/>
      </rPr>
      <t xml:space="preserve"> Dotar de equipos hospitalarios para la especialización </t>
    </r>
  </si>
  <si>
    <r>
      <rPr>
        <b/>
        <sz val="10"/>
        <color indexed="8"/>
        <rFont val="Tahoma"/>
        <family val="2"/>
      </rPr>
      <t xml:space="preserve">8. </t>
    </r>
    <r>
      <rPr>
        <sz val="10"/>
        <color indexed="8"/>
        <rFont val="Tahoma"/>
        <family val="2"/>
      </rPr>
      <t>Adecuar áreas físicas para la especialización</t>
    </r>
  </si>
  <si>
    <t>Numero promedio dias estancia</t>
  </si>
  <si>
    <r>
      <rPr>
        <b/>
        <sz val="10"/>
        <color indexed="8"/>
        <rFont val="Tahoma"/>
        <family val="2"/>
      </rPr>
      <t xml:space="preserve">9. </t>
    </r>
    <r>
      <rPr>
        <sz val="10"/>
        <color indexed="8"/>
        <rFont val="Tahoma"/>
        <family val="2"/>
      </rPr>
      <t>Desarrollar y adoptar los modelos de atención en servicios especializados</t>
    </r>
  </si>
  <si>
    <t>Intervenciones quirúrgicas/Quirofano/día</t>
  </si>
  <si>
    <r>
      <t xml:space="preserve">10. </t>
    </r>
    <r>
      <rPr>
        <sz val="10"/>
        <color indexed="8"/>
        <rFont val="Tahoma"/>
        <family val="2"/>
      </rPr>
      <t>Capacitar y sensibilizar al personal sobre; practicas organizacionales requeridas</t>
    </r>
  </si>
  <si>
    <t>% cumplimiento de POR oro</t>
  </si>
  <si>
    <t xml:space="preserve"> oro 60%</t>
  </si>
  <si>
    <t>platino100%</t>
  </si>
  <si>
    <t>diamante100%</t>
  </si>
  <si>
    <r>
      <rPr>
        <b/>
        <sz val="10"/>
        <color indexed="8"/>
        <rFont val="Tahoma"/>
        <family val="2"/>
      </rPr>
      <t xml:space="preserve">11. </t>
    </r>
    <r>
      <rPr>
        <sz val="10"/>
        <color indexed="8"/>
        <rFont val="Tahoma"/>
        <family val="2"/>
      </rPr>
      <t>Elaborar los planes o procedimientos para la implementacion de (POR)</t>
    </r>
  </si>
  <si>
    <r>
      <rPr>
        <b/>
        <sz val="10"/>
        <color indexed="8"/>
        <rFont val="Tahoma"/>
        <family val="2"/>
      </rPr>
      <t xml:space="preserve">12. </t>
    </r>
    <r>
      <rPr>
        <sz val="10"/>
        <color indexed="8"/>
        <rFont val="Tahoma"/>
        <family val="2"/>
      </rPr>
      <t>Validar el Programa Médico Funcional del Hospital</t>
    </r>
  </si>
  <si>
    <t>CUMPLIMIENTO DE TRAMITES</t>
  </si>
  <si>
    <t xml:space="preserve">ELABORACION Y APROBACION DEL PROGRAMA MEDICO FUNCIONAL </t>
  </si>
  <si>
    <t>GESTION DE CONTRATACION DE CONSULTORIA SECOB - MSP</t>
  </si>
  <si>
    <t>PRESENTACION DEL ESTUDIO INTEGRAL DE INTERVENCION DEL HOSPITAL</t>
  </si>
  <si>
    <t xml:space="preserve">GESTION DE PRESUPUESTO Y FINANCIAMIENTO </t>
  </si>
  <si>
    <r>
      <rPr>
        <b/>
        <sz val="10"/>
        <color indexed="8"/>
        <rFont val="Tahoma"/>
        <family val="2"/>
      </rPr>
      <t xml:space="preserve">13. </t>
    </r>
    <r>
      <rPr>
        <sz val="10"/>
        <color indexed="8"/>
        <rFont val="Tahoma"/>
        <family val="2"/>
      </rPr>
      <t>Verificar el trámite de consultoría integral del hospital con el SECOB y MSP</t>
    </r>
  </si>
  <si>
    <r>
      <rPr>
        <b/>
        <sz val="10"/>
        <color indexed="8"/>
        <rFont val="Tahoma"/>
        <family val="2"/>
      </rPr>
      <t xml:space="preserve">14. </t>
    </r>
    <r>
      <rPr>
        <sz val="10"/>
        <color indexed="8"/>
        <rFont val="Tahoma"/>
        <family val="2"/>
      </rPr>
      <t>Reorientar el agendamiento y referencia de pacientes</t>
    </r>
  </si>
  <si>
    <t>% DE PACIENTES AGENDADOS SIN PERTINANCIA MEDICA A ESPECIALISTAS</t>
  </si>
  <si>
    <r>
      <rPr>
        <b/>
        <sz val="10"/>
        <color indexed="8"/>
        <rFont val="Tahoma"/>
        <family val="2"/>
      </rPr>
      <t xml:space="preserve">15. </t>
    </r>
    <r>
      <rPr>
        <sz val="10"/>
        <color indexed="8"/>
        <rFont val="Tahoma"/>
        <family val="2"/>
      </rPr>
      <t>Mejorar el sistema de contrareferencia</t>
    </r>
  </si>
  <si>
    <t>% muerte materna</t>
  </si>
  <si>
    <r>
      <rPr>
        <b/>
        <sz val="10"/>
        <color indexed="8"/>
        <rFont val="Tahoma"/>
        <family val="2"/>
      </rPr>
      <t xml:space="preserve">16. </t>
    </r>
    <r>
      <rPr>
        <sz val="10"/>
        <color indexed="8"/>
        <rFont val="Tahoma"/>
        <family val="2"/>
      </rPr>
      <t>Definir protocolos de referencia y contrareferencia</t>
    </r>
  </si>
  <si>
    <t>% muerte neonatal</t>
  </si>
  <si>
    <r>
      <rPr>
        <b/>
        <sz val="10"/>
        <color indexed="8"/>
        <rFont val="Tahoma"/>
        <family val="2"/>
      </rPr>
      <t xml:space="preserve">17. </t>
    </r>
    <r>
      <rPr>
        <sz val="10"/>
        <color indexed="8"/>
        <rFont val="Tahoma"/>
        <family val="2"/>
      </rPr>
      <t>Capacitar y asesorar a profesionales que hacen referencias</t>
    </r>
  </si>
  <si>
    <r>
      <rPr>
        <b/>
        <sz val="10"/>
        <color indexed="8"/>
        <rFont val="Tahoma"/>
        <family val="2"/>
      </rPr>
      <t xml:space="preserve">18. </t>
    </r>
    <r>
      <rPr>
        <sz val="10"/>
        <color indexed="8"/>
        <rFont val="Tahoma"/>
        <family val="2"/>
      </rPr>
      <t>Analizar la conveniencia de las derivaciones</t>
    </r>
  </si>
  <si>
    <t>% de espera en consulta menor a 15 dias</t>
  </si>
  <si>
    <r>
      <rPr>
        <b/>
        <sz val="10"/>
        <color indexed="8"/>
        <rFont val="Tahoma"/>
        <family val="2"/>
      </rPr>
      <t xml:space="preserve">19. </t>
    </r>
    <r>
      <rPr>
        <sz val="10"/>
        <color indexed="8"/>
        <rFont val="Tahoma"/>
        <family val="2"/>
      </rPr>
      <t>Implementar servicios según análisis de conveniencia</t>
    </r>
  </si>
  <si>
    <t>Numero de pacientes en lista de espera quirurgica</t>
  </si>
  <si>
    <r>
      <rPr>
        <b/>
        <sz val="10"/>
        <color indexed="8"/>
        <rFont val="Tahoma"/>
        <family val="2"/>
      </rPr>
      <t xml:space="preserve">20. </t>
    </r>
    <r>
      <rPr>
        <sz val="10"/>
        <color indexed="8"/>
        <rFont val="Tahoma"/>
        <family val="2"/>
      </rPr>
      <t xml:space="preserve">Brindar la capacitación en línea acorde a la planificación nacional </t>
    </r>
  </si>
  <si>
    <t>% De cumplimiento en contrareferencia</t>
  </si>
  <si>
    <r>
      <rPr>
        <b/>
        <sz val="10"/>
        <color indexed="8"/>
        <rFont val="Tahoma"/>
        <family val="2"/>
      </rPr>
      <t xml:space="preserve">21. </t>
    </r>
    <r>
      <rPr>
        <sz val="10"/>
        <color indexed="8"/>
        <rFont val="Tahoma"/>
        <family val="2"/>
      </rPr>
      <t>Implementar la consulta de especialidades por telemedicina</t>
    </r>
  </si>
  <si>
    <t>% Satisfacció de profesionales de distritos en capacitación y asesoria</t>
  </si>
  <si>
    <r>
      <rPr>
        <b/>
        <sz val="10"/>
        <color indexed="8"/>
        <rFont val="Tahoma"/>
        <family val="2"/>
      </rPr>
      <t xml:space="preserve">22. </t>
    </r>
    <r>
      <rPr>
        <sz val="10"/>
        <color indexed="8"/>
        <rFont val="Tahoma"/>
        <family val="2"/>
      </rPr>
      <t xml:space="preserve">Implementar los procesos de Asesoría en línea sobre gestión clínica con distritos  </t>
    </r>
  </si>
  <si>
    <t>Numero de consultas de telemedicina</t>
  </si>
  <si>
    <r>
      <rPr>
        <b/>
        <sz val="10"/>
        <color indexed="8"/>
        <rFont val="Tahoma"/>
        <family val="2"/>
      </rPr>
      <t xml:space="preserve">23. </t>
    </r>
    <r>
      <rPr>
        <sz val="10"/>
        <color indexed="8"/>
        <rFont val="Tahoma"/>
        <family val="2"/>
      </rPr>
      <t>Aplicar el proceso de inducción a estudiantes sobre la organización y normas del MSP - HVCM</t>
    </r>
  </si>
  <si>
    <t>% de estudiantes con inducción cumplida</t>
  </si>
  <si>
    <r>
      <rPr>
        <b/>
        <sz val="10"/>
        <color indexed="8"/>
        <rFont val="Tahoma"/>
        <family val="2"/>
      </rPr>
      <t xml:space="preserve">24. </t>
    </r>
    <r>
      <rPr>
        <sz val="10"/>
        <color indexed="8"/>
        <rFont val="Tahoma"/>
        <family val="2"/>
      </rPr>
      <t>Concertar y definir roles y responsablidades de asistencia docencia</t>
    </r>
  </si>
  <si>
    <t>% de satisfacción de los estudiantes, con respecto al hospital</t>
  </si>
  <si>
    <r>
      <rPr>
        <b/>
        <sz val="10"/>
        <color indexed="8"/>
        <rFont val="Tahoma"/>
        <family val="2"/>
      </rPr>
      <t xml:space="preserve">25. </t>
    </r>
    <r>
      <rPr>
        <sz val="10"/>
        <color indexed="8"/>
        <rFont val="Tahoma"/>
        <family val="2"/>
      </rPr>
      <t>Adecuar espacios y ambientes para la formación.</t>
    </r>
  </si>
  <si>
    <r>
      <t xml:space="preserve">26. </t>
    </r>
    <r>
      <rPr>
        <sz val="10"/>
        <color indexed="8"/>
        <rFont val="Tahoma"/>
        <family val="2"/>
      </rPr>
      <t>Verificar el nivel de competencia en la formación y record de experticia.</t>
    </r>
  </si>
  <si>
    <r>
      <t xml:space="preserve">27. </t>
    </r>
    <r>
      <rPr>
        <sz val="10"/>
        <color indexed="8"/>
        <rFont val="Tahoma"/>
        <family val="2"/>
      </rPr>
      <t>Definir los temas de investigación según la normativa nacional y HVCM</t>
    </r>
  </si>
  <si>
    <t>Numero de investigaciones científicas por año</t>
  </si>
  <si>
    <r>
      <t xml:space="preserve">28. </t>
    </r>
    <r>
      <rPr>
        <sz val="10"/>
        <color indexed="8"/>
        <rFont val="Tahoma"/>
        <family val="2"/>
      </rPr>
      <t>Capacitar y socializar la metodología para la investigación</t>
    </r>
  </si>
  <si>
    <r>
      <rPr>
        <b/>
        <sz val="10"/>
        <color indexed="8"/>
        <rFont val="Tahoma"/>
        <family val="2"/>
      </rPr>
      <t xml:space="preserve">29. </t>
    </r>
    <r>
      <rPr>
        <sz val="10"/>
        <color indexed="8"/>
        <rFont val="Tahoma"/>
        <family val="2"/>
      </rPr>
      <t>Evaluar las propuestas de mejoramiento sobre resultados de investigación</t>
    </r>
  </si>
  <si>
    <t>GERENCIA GENERAL HVCM</t>
  </si>
  <si>
    <t xml:space="preserve">Número de Proyectos realizados </t>
  </si>
  <si>
    <t xml:space="preserve">Desarrollar eventos de capacitación al personal con base a sus competencias </t>
  </si>
  <si>
    <t>Talento humano y Responsables de Servcios</t>
  </si>
  <si>
    <t>Número de Informes de  eventos de  capacitación</t>
  </si>
  <si>
    <t>NIVEL DONDE SE EJECUTA LA ACTIVIDAD CON O SIN PRESUPUESTO</t>
  </si>
  <si>
    <t>Aplicación de los cursos virtuales al personal del HVCM.</t>
  </si>
  <si>
    <t>Responsables de Servcios de Dirección Asistencial</t>
  </si>
  <si>
    <t>Elaborar el plan de equipamiento y gestionar financiamiento</t>
  </si>
  <si>
    <t>Elaborar Proyectos de readecuacion de áreas Fisicas aptas para la especialización</t>
  </si>
  <si>
    <t>Reorientar el agendamiento y referencia de pacientes</t>
  </si>
  <si>
    <t>Mejorar el sistema de contrareferencia</t>
  </si>
  <si>
    <t>Analizar la conveniencia de las derivaciones</t>
  </si>
  <si>
    <t>Implementar servicios según análisis de conveniencia</t>
  </si>
  <si>
    <t>Implementar la consulta de especialidades por telemedicina</t>
  </si>
  <si>
    <t xml:space="preserve">Implementar los procesos de Asesoría en línea sobre gestión clínica con distritos  </t>
  </si>
  <si>
    <r>
      <rPr>
        <b/>
        <sz val="8"/>
        <color indexed="8"/>
        <rFont val="Tahoma"/>
        <family val="2"/>
      </rPr>
      <t xml:space="preserve">6. </t>
    </r>
    <r>
      <rPr>
        <sz val="8"/>
        <color indexed="8"/>
        <rFont val="Tahoma"/>
        <family val="2"/>
      </rPr>
      <t>Entrenar y certificar en competencias específicas al personal</t>
    </r>
  </si>
  <si>
    <r>
      <rPr>
        <b/>
        <sz val="8"/>
        <color indexed="8"/>
        <rFont val="Tahoma"/>
        <family val="2"/>
      </rPr>
      <t>7.</t>
    </r>
    <r>
      <rPr>
        <sz val="8"/>
        <color indexed="8"/>
        <rFont val="Tahoma"/>
        <family val="2"/>
      </rPr>
      <t xml:space="preserve"> Dotar de equipos hospitalarios para la especialización </t>
    </r>
  </si>
  <si>
    <t xml:space="preserve">Resolver en forma oportuna intervenciones y procedimientos quirúrgicas </t>
  </si>
  <si>
    <t>Gestión Administrativa:Matenimiento.</t>
  </si>
  <si>
    <t>Consulta Externa, Emergencia, Cirugía, Centro Quirúrgico, Farmacia</t>
  </si>
  <si>
    <t>Número de procedimientos quirúrgicos realizados</t>
  </si>
  <si>
    <t>Brindar atención a pacientes en Odontología</t>
  </si>
  <si>
    <t>Consultorios de Odontología</t>
  </si>
  <si>
    <t>Elaborar plan de provision de instrumental quirúrgico y gestinar su financiamiento</t>
  </si>
  <si>
    <t>Gerencia, Planificacion,Gestión Administrativa.</t>
  </si>
  <si>
    <t xml:space="preserve">Gerencia, Planificacion, Dirección Asistencial,Administrativa Financiera; </t>
  </si>
  <si>
    <t>Áreas físicas readecuadas</t>
  </si>
  <si>
    <t>Atenciones de Trauma,  Emergencia y triaje en las diferentes especialidades</t>
  </si>
  <si>
    <t>Implementar los planes, procedimiento, protocolos  para el cumplimiento de los   (POR)</t>
  </si>
  <si>
    <t xml:space="preserve">Plan de Equipamiento ejecutado </t>
  </si>
  <si>
    <t xml:space="preserve">Número de informes de aplicabilidad y evaluacion de las Prácticas Organizaciones Requeridas </t>
  </si>
  <si>
    <t xml:space="preserve">Plan realizado y ejecutado provision de Instrumental </t>
  </si>
  <si>
    <t>Cirugía</t>
  </si>
  <si>
    <t>Medicina Interna</t>
  </si>
  <si>
    <t>Pediatría</t>
  </si>
  <si>
    <t>Gineco-Obstetricia</t>
  </si>
  <si>
    <t>Número de Egresos</t>
  </si>
  <si>
    <t>Neonatología</t>
  </si>
  <si>
    <t>UCI ADULTOS</t>
  </si>
  <si>
    <t xml:space="preserve">Número de pacientes transferidos </t>
  </si>
  <si>
    <t>Atenciones en àeas de hospitalización con calidad y calidez, eficiencia y eficacia aplicando las Prácticas Organizacionales Requeridas, normas procedimientos diseñados para el efecto.</t>
  </si>
  <si>
    <t>Servicio de Fonoaudiologia</t>
  </si>
  <si>
    <t>Programa 90 Provisión y Prestación de Servicios de Salud</t>
  </si>
  <si>
    <t>Programa 85 Fortalecimiento del Modelo de Atención en Salud</t>
  </si>
  <si>
    <t>Raciones alimenticias brindadas</t>
  </si>
  <si>
    <t xml:space="preserve">Personal </t>
  </si>
  <si>
    <t>Pacientes</t>
  </si>
  <si>
    <r>
      <rPr>
        <b/>
        <sz val="8"/>
        <color indexed="8"/>
        <rFont val="Calibri"/>
        <family val="2"/>
      </rPr>
      <t xml:space="preserve"> </t>
    </r>
    <r>
      <rPr>
        <sz val="8"/>
        <color indexed="8"/>
        <rFont val="Calibri"/>
        <family val="2"/>
      </rPr>
      <t>Gestionar  y Verificar el avance del trámite de consultoría integral del hospital con el SECOB y MSP</t>
    </r>
  </si>
  <si>
    <t>Número de derivaciones por año</t>
  </si>
  <si>
    <t xml:space="preserve">Admisiones </t>
  </si>
  <si>
    <t>Admisisones Centro Quirúrgico, Consulta Externa</t>
  </si>
  <si>
    <t>Definir protocolos de referencia y contrareferencia</t>
  </si>
  <si>
    <t>Capacitar y asesorar a profesionales que hacen referencias</t>
  </si>
  <si>
    <t>Número de pacientes en lista de espera quirurgica</t>
  </si>
  <si>
    <t>Dirección Asistencial y Neonatologia</t>
  </si>
  <si>
    <t>Dirección Asistencial y Consulta Externa Distritos</t>
  </si>
  <si>
    <t>Gerencia Dirección Asistencias Responsables de Especialidades</t>
  </si>
  <si>
    <t xml:space="preserve">Brindar la capacitación en línea acorde a la planificación nacional </t>
  </si>
  <si>
    <t>Gestionar el Plan de Brecha en Recursos Humanos</t>
  </si>
  <si>
    <t>Plan elaborado y ejecutado</t>
  </si>
  <si>
    <t>Direccion Administrativa Talento Humano</t>
  </si>
  <si>
    <t xml:space="preserve">Número de derivaciones </t>
  </si>
  <si>
    <t>TOTALES:</t>
  </si>
  <si>
    <t>Direccion Administrativa- Finaciera, Talento Humano</t>
  </si>
  <si>
    <t>Cumplir con pago de  nómina a Personal de Jubilados</t>
  </si>
  <si>
    <t>Nóminas pagadas</t>
  </si>
  <si>
    <t>Gestionar Financiamiento del plan para retiro del personal por jubilación con todos los beneficios</t>
  </si>
  <si>
    <t>TOTAL PRESUPUESTO</t>
  </si>
  <si>
    <t>Concertar y definir roles y responsablidades de asistencia docencia</t>
  </si>
  <si>
    <t>Definir los temas de investigación según la normativa nacional y HVCM</t>
  </si>
  <si>
    <t>Consultorias</t>
  </si>
  <si>
    <t>8. Adecuar áreas físicas para la especialización</t>
  </si>
  <si>
    <t xml:space="preserve">Observaciones </t>
  </si>
  <si>
    <t>PLANIFICACIÓN OPERATIVA ANUAL DEL HOSPITAL VICENTE CORRAL MOSCOSO</t>
  </si>
  <si>
    <t>COORDINACION DE SALUD 6                                                                                                   HOSPITAL VICENTE CORRAL MOSCOSO</t>
  </si>
  <si>
    <t>ING. CORNELIA ILLESCAS</t>
  </si>
  <si>
    <t>RESPONSABLE DE PLANIFICACIÓN SEG. Y EVALUACIÓN DE LA GESTIÓN</t>
  </si>
  <si>
    <t>DIRECTORA ADMINISTRATIVA FINANCIERA</t>
  </si>
  <si>
    <t>GERENTE DEL HVCM</t>
  </si>
  <si>
    <t>9. Desarrollar y adoptar modelos de atención en servicos especializados</t>
  </si>
  <si>
    <t>Costo incluye en los demás servicios</t>
  </si>
  <si>
    <t>OK</t>
  </si>
  <si>
    <t xml:space="preserve">Promover un ambiente de trabajo sano y seguro </t>
  </si>
  <si>
    <t xml:space="preserve">Recursos Humanos, Calidad, Dirección Asistencial, Direccion Admiministrativa Financier </t>
  </si>
  <si>
    <t>% de Satisfación del personal que labora en el HVCM</t>
  </si>
  <si>
    <t>II cuatrismestre valores</t>
  </si>
  <si>
    <t>III cuatrismestre valores</t>
  </si>
  <si>
    <t>Meta</t>
  </si>
  <si>
    <t>Número de Raciones alimenticias brindadas a personal y pacientes</t>
  </si>
  <si>
    <t>Número de Raciones alimenticias brindadas a pacientes y personal planifiadas</t>
  </si>
  <si>
    <t>I cuatrimestre valores</t>
  </si>
  <si>
    <t>Administrativo-Financiero: Talento Humano</t>
  </si>
  <si>
    <t>I CUATRIMESTRE % Cumplimiento</t>
  </si>
  <si>
    <t>II CUATRIMESTRE % Cumplimient</t>
  </si>
  <si>
    <t>III CUATRIMESTRE % Cumplimient</t>
  </si>
  <si>
    <t>% de cumplimiento</t>
  </si>
  <si>
    <t>PRESUPUESTO proyectado</t>
  </si>
  <si>
    <t>Estudio y diseño para la Tecnica NAT</t>
  </si>
  <si>
    <t>PROGRAMACIÓN DE LA META TECNICA</t>
  </si>
  <si>
    <t>Dr. Oscar Chango</t>
  </si>
  <si>
    <t xml:space="preserve">Gestionar los recursos necesarios  a través de presentación de Proyectos </t>
  </si>
  <si>
    <t xml:space="preserve">Gerencia, Dirección Asistencial, Gestión Administrativa Financiera, </t>
  </si>
  <si>
    <t>Gerencia,Dirección Asistencial, Dirección Adm-Administrativa;  Servicios  Especialidades Médicas y de Diagnóstico</t>
  </si>
  <si>
    <r>
      <t xml:space="preserve">3. Gestionar </t>
    </r>
    <r>
      <rPr>
        <b/>
        <sz val="8"/>
        <color indexed="8"/>
        <rFont val="Tahoma"/>
        <family val="2"/>
      </rPr>
      <t>recursos y construir la infraestructura</t>
    </r>
  </si>
  <si>
    <t>I  CUATRIM</t>
  </si>
  <si>
    <t>I CUATRM</t>
  </si>
  <si>
    <t>II CUATRM</t>
  </si>
  <si>
    <t>III CUATRM</t>
  </si>
  <si>
    <t>avance de la meta técnica en los Tres cuatrimestres</t>
  </si>
  <si>
    <t>LÍNEA BASE DEL INDICADOR AL 2015 EN NÚMERO</t>
  </si>
  <si>
    <t>META EN NÚMERO O %  DEL INDICADOR (PROPUESTA O ESPERADA AL 2016)</t>
  </si>
  <si>
    <t>III  CUATRIM</t>
  </si>
  <si>
    <t>II  CUATRIM</t>
  </si>
  <si>
    <t xml:space="preserve">Número de atencines en el Banco de Sangre </t>
  </si>
  <si>
    <t>Numero de atenciones de Audiología</t>
  </si>
  <si>
    <t>Número de recetas despachadas en CE</t>
  </si>
  <si>
    <t>Numero de Recetas despachadas en Hospitalización</t>
  </si>
  <si>
    <t>Numero de Recetas despachadas en Emergencia</t>
  </si>
  <si>
    <t>Atención en Tamizaje auditivo por audimetrías e impedanciometrías y otros</t>
  </si>
  <si>
    <t>Kilos de Ropa Lavada</t>
  </si>
  <si>
    <t>Servicios Generales: Lavandería</t>
  </si>
  <si>
    <t>Numero de kilos de ropa lavada</t>
  </si>
  <si>
    <t>Atenciones en Fisioterapia y Rehabilitación física</t>
  </si>
  <si>
    <t>Fisioterapia y Rehabilitacion Física</t>
  </si>
  <si>
    <t>Número e atenciones</t>
  </si>
  <si>
    <t>Numero de Tomografias</t>
  </si>
  <si>
    <t>Número de Ecografias</t>
  </si>
  <si>
    <t>Atenciones en Imagenología:</t>
  </si>
  <si>
    <t>Atenciones en Consulta por procedimientos especiales</t>
  </si>
  <si>
    <t>Atenciones en el Banco de Sangre</t>
  </si>
  <si>
    <t>PROGRAMACION  PRESUPUESTARIA</t>
  </si>
  <si>
    <t>METAS PROYECTADAS Y EJECUTADAS</t>
  </si>
  <si>
    <t>ING. MARCELA BRAVO</t>
  </si>
  <si>
    <t>Racionalizacion y DespaCho para el consumo de Medicamentos</t>
  </si>
  <si>
    <t>En este valor se encuentran los proyectos de readecuacion de área de Rayos X y Centro de Trauma que no se pudo realizar por demora en avales y luego por falta de acreditación en Cuenta por el valor de anticipo En el año 2015</t>
  </si>
  <si>
    <t>Directora Administrativa Financiera: UATH</t>
  </si>
  <si>
    <t>Gerente, Directoras asistencial Méica y Administrtiva Finnaciera</t>
  </si>
  <si>
    <t>Gerente, Directorara Administrativo-Financiero: Talento Humano</t>
  </si>
  <si>
    <t>Directora Asistencial: Coordinaadora de la Uni.de Cuidados de Enferemría</t>
  </si>
  <si>
    <t>Directora Administrativa Financiera: Responsable administrativa</t>
  </si>
  <si>
    <t>Directora Médica y Subdirectora (or) de la Un.Clínico/Quirúrgica, Líder del Servicio</t>
  </si>
  <si>
    <t>Directora Médica y Subdirectora (or) de la Un.Apoyo y Diag. Terap.y  Líder del Servicio</t>
  </si>
  <si>
    <t>Directora Administrativa Financier/Responsable de Gestion Administrativa y de Serv. Generales</t>
  </si>
  <si>
    <t>Directora Administrativa Finaciera</t>
  </si>
  <si>
    <t>Directora Médica y Subdirectora (or) de la Un.Clínico/Quirúrgica, Líderes del Servicio</t>
  </si>
  <si>
    <t>Directora Médica y Subdirectora (or) de la Un.Docencia e Investiacion, Líderes del Servicio</t>
  </si>
  <si>
    <r>
      <rPr>
        <b/>
        <sz val="10"/>
        <color indexed="8"/>
        <rFont val="Tahoma"/>
        <family val="2"/>
      </rPr>
      <t>1.</t>
    </r>
    <r>
      <rPr>
        <sz val="10"/>
        <color indexed="8"/>
        <rFont val="Tahoma"/>
        <family val="2"/>
      </rPr>
      <t xml:space="preserve"> ALCANZAR EL NIVEL CUMPLIMIENTO DE ESTANDARES DE ACREDITACION EN SALUD DESDE NIVEL ORO A DIAMANTE</t>
    </r>
  </si>
  <si>
    <r>
      <t xml:space="preserve">1.  </t>
    </r>
    <r>
      <rPr>
        <sz val="10"/>
        <color indexed="8"/>
        <rFont val="Tahoma"/>
        <family val="2"/>
      </rPr>
      <t>Liderazgo; Gestión operativa, IE, Excelencia</t>
    </r>
  </si>
  <si>
    <r>
      <t xml:space="preserve">2. </t>
    </r>
    <r>
      <rPr>
        <sz val="10"/>
        <color indexed="8"/>
        <rFont val="Tahoma"/>
        <family val="2"/>
      </rPr>
      <t>Control y prevención de infecciones</t>
    </r>
  </si>
  <si>
    <r>
      <t xml:space="preserve">3. </t>
    </r>
    <r>
      <rPr>
        <sz val="10"/>
        <color indexed="8"/>
        <rFont val="Tahoma"/>
        <family val="2"/>
      </rPr>
      <t xml:space="preserve">Manejo de la medicación </t>
    </r>
  </si>
  <si>
    <r>
      <t xml:space="preserve">4.  </t>
    </r>
    <r>
      <rPr>
        <sz val="10"/>
        <color indexed="8"/>
        <rFont val="Tahoma"/>
        <family val="2"/>
      </rPr>
      <t>Planificar y preparar emergencias y desastres</t>
    </r>
  </si>
  <si>
    <r>
      <t xml:space="preserve">5.  </t>
    </r>
    <r>
      <rPr>
        <sz val="10"/>
        <color indexed="8"/>
        <rFont val="Tahoma"/>
        <family val="2"/>
      </rPr>
      <t>Implementar y mejorar estándares por servicios</t>
    </r>
  </si>
  <si>
    <r>
      <rPr>
        <b/>
        <sz val="10"/>
        <color indexed="8"/>
        <rFont val="Tahoma"/>
        <family val="2"/>
      </rPr>
      <t>2.</t>
    </r>
    <r>
      <rPr>
        <sz val="10"/>
        <color indexed="8"/>
        <rFont val="Tahoma"/>
        <family val="2"/>
      </rPr>
      <t xml:space="preserve"> LOGRAR LA CONFIABILIDAD DE NUESTROS SERVICIOS ESPECIALIZADOS</t>
    </r>
  </si>
  <si>
    <r>
      <rPr>
        <b/>
        <sz val="10"/>
        <color indexed="8"/>
        <rFont val="Tahoma"/>
        <family val="2"/>
      </rPr>
      <t xml:space="preserve">6. </t>
    </r>
    <r>
      <rPr>
        <sz val="10"/>
        <color indexed="8"/>
        <rFont val="Tahoma"/>
        <family val="2"/>
      </rPr>
      <t xml:space="preserve">Entrenar y certificar en competencias específicas </t>
    </r>
  </si>
  <si>
    <r>
      <rPr>
        <b/>
        <sz val="10"/>
        <rFont val="Tahoma"/>
        <family val="2"/>
      </rPr>
      <t>3.</t>
    </r>
    <r>
      <rPr>
        <sz val="10"/>
        <rFont val="Tahoma"/>
        <family val="2"/>
      </rPr>
      <t xml:space="preserve"> IMPLEMENTAR LAS PRACTICAS ORGANIZACIONALES REQUERIDAS (POR)</t>
    </r>
  </si>
  <si>
    <r>
      <rPr>
        <b/>
        <sz val="10"/>
        <color indexed="8"/>
        <rFont val="Tahoma"/>
        <family val="2"/>
      </rPr>
      <t xml:space="preserve">10. </t>
    </r>
    <r>
      <rPr>
        <sz val="10"/>
        <color indexed="8"/>
        <rFont val="Tahoma"/>
        <family val="2"/>
      </rPr>
      <t>Capacitar y sensibilizar al personal sobre; practicas organizacionales requeridas</t>
    </r>
  </si>
  <si>
    <r>
      <rPr>
        <b/>
        <sz val="10"/>
        <rFont val="Tahoma"/>
        <family val="2"/>
      </rPr>
      <t>4</t>
    </r>
    <r>
      <rPr>
        <sz val="10"/>
        <rFont val="Tahoma"/>
        <family val="2"/>
      </rPr>
      <t>. IMPLEMENTAR EL CUIDADO INTEGRAL AL PACIENTE</t>
    </r>
  </si>
  <si>
    <r>
      <rPr>
        <b/>
        <sz val="10"/>
        <color indexed="8"/>
        <rFont val="Tahoma"/>
        <family val="2"/>
      </rPr>
      <t>12.</t>
    </r>
    <r>
      <rPr>
        <sz val="10"/>
        <color indexed="8"/>
        <rFont val="Tahoma"/>
        <family val="2"/>
      </rPr>
      <t xml:space="preserve"> Elaborar e implementar los planes de cuidados integrales de pacientes, basados en la evidencia científica.</t>
    </r>
  </si>
  <si>
    <r>
      <rPr>
        <b/>
        <sz val="10"/>
        <rFont val="Tahoma"/>
        <family val="2"/>
      </rPr>
      <t xml:space="preserve">5. </t>
    </r>
    <r>
      <rPr>
        <sz val="10"/>
        <rFont val="Tahoma"/>
        <family val="2"/>
      </rPr>
      <t>IMPLEMENTAR SERVICIOS ESPECAILIZADOS SEGÚN PLANIFICACION MSP</t>
    </r>
  </si>
  <si>
    <r>
      <rPr>
        <b/>
        <sz val="10"/>
        <color indexed="8"/>
        <rFont val="Tahoma"/>
        <family val="2"/>
      </rPr>
      <t xml:space="preserve">13. </t>
    </r>
    <r>
      <rPr>
        <sz val="10"/>
        <color indexed="8"/>
        <rFont val="Tahoma"/>
        <family val="2"/>
      </rPr>
      <t>Validar el Programa Médico Funcional del Hospital</t>
    </r>
  </si>
  <si>
    <r>
      <rPr>
        <b/>
        <sz val="10"/>
        <color indexed="8"/>
        <rFont val="Tahoma"/>
        <family val="2"/>
      </rPr>
      <t xml:space="preserve">14. </t>
    </r>
    <r>
      <rPr>
        <sz val="10"/>
        <color indexed="8"/>
        <rFont val="Tahoma"/>
        <family val="2"/>
      </rPr>
      <t>Verificar el trámite de consultoría integral del hospital con el SECOB y MSP</t>
    </r>
  </si>
  <si>
    <r>
      <rPr>
        <b/>
        <sz val="10"/>
        <rFont val="Tahoma"/>
        <family val="2"/>
      </rPr>
      <t xml:space="preserve">6. </t>
    </r>
    <r>
      <rPr>
        <sz val="10"/>
        <rFont val="Tahoma"/>
        <family val="2"/>
      </rPr>
      <t>OPTIMIZAR LAS REFERENCIAS A SERVICIOS ESPECIALIZADOS</t>
    </r>
  </si>
  <si>
    <r>
      <rPr>
        <b/>
        <sz val="10"/>
        <color indexed="8"/>
        <rFont val="Tahoma"/>
        <family val="2"/>
      </rPr>
      <t xml:space="preserve">15. </t>
    </r>
    <r>
      <rPr>
        <sz val="10"/>
        <color indexed="8"/>
        <rFont val="Tahoma"/>
        <family val="2"/>
      </rPr>
      <t>Reorientar el agendamiento y referencia de pacientes</t>
    </r>
  </si>
  <si>
    <r>
      <rPr>
        <b/>
        <sz val="10"/>
        <color indexed="8"/>
        <rFont val="Tahoma"/>
        <family val="2"/>
      </rPr>
      <t xml:space="preserve">16. </t>
    </r>
    <r>
      <rPr>
        <sz val="10"/>
        <color indexed="8"/>
        <rFont val="Tahoma"/>
        <family val="2"/>
      </rPr>
      <t>Mejorar el sistema de contrareferencia</t>
    </r>
  </si>
  <si>
    <r>
      <rPr>
        <b/>
        <sz val="10"/>
        <color indexed="8"/>
        <rFont val="Tahoma"/>
        <family val="2"/>
      </rPr>
      <t xml:space="preserve">17. </t>
    </r>
    <r>
      <rPr>
        <sz val="10"/>
        <color indexed="8"/>
        <rFont val="Tahoma"/>
        <family val="2"/>
      </rPr>
      <t>Definir protocolos de referencia y contrareferencia</t>
    </r>
  </si>
  <si>
    <r>
      <rPr>
        <b/>
        <sz val="10"/>
        <color indexed="8"/>
        <rFont val="Tahoma"/>
        <family val="2"/>
      </rPr>
      <t xml:space="preserve">18. </t>
    </r>
    <r>
      <rPr>
        <sz val="10"/>
        <color indexed="8"/>
        <rFont val="Tahoma"/>
        <family val="2"/>
      </rPr>
      <t>Capacitar y asesorar a profesionales de la red que hacen referencias</t>
    </r>
  </si>
  <si>
    <r>
      <rPr>
        <b/>
        <sz val="10"/>
        <rFont val="Tahoma"/>
        <family val="2"/>
      </rPr>
      <t>7.</t>
    </r>
    <r>
      <rPr>
        <sz val="10"/>
        <rFont val="Tahoma"/>
        <family val="2"/>
      </rPr>
      <t xml:space="preserve"> REDUCIR LA DERIVACION A LA RED COMPLEMENTARIA</t>
    </r>
  </si>
  <si>
    <r>
      <rPr>
        <b/>
        <sz val="10"/>
        <color indexed="8"/>
        <rFont val="Tahoma"/>
        <family val="2"/>
      </rPr>
      <t xml:space="preserve">19. </t>
    </r>
    <r>
      <rPr>
        <sz val="10"/>
        <color indexed="8"/>
        <rFont val="Tahoma"/>
        <family val="2"/>
      </rPr>
      <t>Analizar la conveniencia de las derivaciones</t>
    </r>
  </si>
  <si>
    <r>
      <rPr>
        <b/>
        <sz val="10"/>
        <color indexed="8"/>
        <rFont val="Tahoma"/>
        <family val="2"/>
      </rPr>
      <t xml:space="preserve">20. </t>
    </r>
    <r>
      <rPr>
        <sz val="10"/>
        <color indexed="8"/>
        <rFont val="Tahoma"/>
        <family val="2"/>
      </rPr>
      <t>Implementar servicios según análisis de conveniencia</t>
    </r>
  </si>
  <si>
    <r>
      <rPr>
        <b/>
        <sz val="10"/>
        <rFont val="Tahoma"/>
        <family val="2"/>
      </rPr>
      <t>8.</t>
    </r>
    <r>
      <rPr>
        <sz val="10"/>
        <rFont val="Tahoma"/>
        <family val="2"/>
      </rPr>
      <t xml:space="preserve"> FORTALECER LA TELEMEDICINA Y COMUNICACIÓN CLINICA</t>
    </r>
  </si>
  <si>
    <r>
      <rPr>
        <b/>
        <sz val="10"/>
        <color indexed="8"/>
        <rFont val="Tahoma"/>
        <family val="2"/>
      </rPr>
      <t xml:space="preserve">21. </t>
    </r>
    <r>
      <rPr>
        <sz val="10"/>
        <color indexed="8"/>
        <rFont val="Tahoma"/>
        <family val="2"/>
      </rPr>
      <t>Brindar la capacitación en línea acorde a la planificación nacional del programa</t>
    </r>
  </si>
  <si>
    <r>
      <rPr>
        <b/>
        <sz val="10"/>
        <color indexed="8"/>
        <rFont val="Tahoma"/>
        <family val="2"/>
      </rPr>
      <t xml:space="preserve">22. </t>
    </r>
    <r>
      <rPr>
        <sz val="10"/>
        <color indexed="8"/>
        <rFont val="Tahoma"/>
        <family val="2"/>
      </rPr>
      <t>Implementar la consulta de especialidades por telemedicina según necesidades</t>
    </r>
  </si>
  <si>
    <r>
      <rPr>
        <b/>
        <sz val="10"/>
        <color indexed="8"/>
        <rFont val="Tahoma"/>
        <family val="2"/>
      </rPr>
      <t xml:space="preserve">23. </t>
    </r>
    <r>
      <rPr>
        <sz val="10"/>
        <color indexed="8"/>
        <rFont val="Tahoma"/>
        <family val="2"/>
      </rPr>
      <t xml:space="preserve">Implementar los procesos de Asesoría en línea sobre gestión clínica con distritos  </t>
    </r>
  </si>
  <si>
    <r>
      <rPr>
        <b/>
        <sz val="10"/>
        <rFont val="Tahoma"/>
        <family val="2"/>
      </rPr>
      <t xml:space="preserve">9. </t>
    </r>
    <r>
      <rPr>
        <sz val="10"/>
        <rFont val="Tahoma"/>
        <family val="2"/>
      </rPr>
      <t>DESARROLLAR HABILIDADES, DESTREZAS Y COMPETENCIAS AL PERSONAL EN FORMACIÓN EN EL AMBITO HOSPITALARIO</t>
    </r>
  </si>
  <si>
    <r>
      <rPr>
        <b/>
        <sz val="10"/>
        <color indexed="8"/>
        <rFont val="Tahoma"/>
        <family val="2"/>
      </rPr>
      <t xml:space="preserve">24. </t>
    </r>
    <r>
      <rPr>
        <sz val="10"/>
        <color indexed="8"/>
        <rFont val="Tahoma"/>
        <family val="2"/>
      </rPr>
      <t>Aplicar el proceso de inducción a estudiantes sobre la organización y normas del MSP - HVCM</t>
    </r>
  </si>
  <si>
    <r>
      <rPr>
        <b/>
        <sz val="10"/>
        <color indexed="8"/>
        <rFont val="Tahoma"/>
        <family val="2"/>
      </rPr>
      <t xml:space="preserve">25. </t>
    </r>
    <r>
      <rPr>
        <sz val="10"/>
        <color indexed="8"/>
        <rFont val="Tahoma"/>
        <family val="2"/>
      </rPr>
      <t>Concertar y definir roles y responsablidades de asistencia docencia, Tutorías e incentivos</t>
    </r>
  </si>
  <si>
    <r>
      <rPr>
        <b/>
        <sz val="10"/>
        <color indexed="8"/>
        <rFont val="Tahoma"/>
        <family val="2"/>
      </rPr>
      <t xml:space="preserve">26. </t>
    </r>
    <r>
      <rPr>
        <sz val="10"/>
        <color indexed="8"/>
        <rFont val="Tahoma"/>
        <family val="2"/>
      </rPr>
      <t>Adecuar espacios y ambientes para la formación.</t>
    </r>
  </si>
  <si>
    <r>
      <rPr>
        <b/>
        <sz val="10"/>
        <rFont val="Tahoma"/>
        <family val="2"/>
      </rPr>
      <t>27.</t>
    </r>
    <r>
      <rPr>
        <sz val="10"/>
        <rFont val="Tahoma"/>
        <family val="2"/>
      </rPr>
      <t xml:space="preserve"> </t>
    </r>
    <r>
      <rPr>
        <sz val="10"/>
        <color indexed="8"/>
        <rFont val="Tahoma"/>
        <family val="2"/>
      </rPr>
      <t>Verificar el nivel de competencia en la formación y record de experticia.</t>
    </r>
  </si>
  <si>
    <r>
      <rPr>
        <b/>
        <sz val="10"/>
        <rFont val="Tahoma"/>
        <family val="2"/>
      </rPr>
      <t>10.</t>
    </r>
    <r>
      <rPr>
        <sz val="10"/>
        <rFont val="Tahoma"/>
        <family val="2"/>
      </rPr>
      <t xml:space="preserve"> MEJORAR LOS SERVICIOS DE SALUD CON BASE A PROCESOS DE INVESTIGACION</t>
    </r>
  </si>
  <si>
    <r>
      <rPr>
        <b/>
        <sz val="10"/>
        <rFont val="Tahoma"/>
        <family val="2"/>
      </rPr>
      <t>28.</t>
    </r>
    <r>
      <rPr>
        <sz val="10"/>
        <rFont val="Tahoma"/>
        <family val="2"/>
      </rPr>
      <t xml:space="preserve"> </t>
    </r>
    <r>
      <rPr>
        <sz val="10"/>
        <color indexed="8"/>
        <rFont val="Tahoma"/>
        <family val="2"/>
      </rPr>
      <t>Definir los temas de investigación según la normativa nacional, HVCM y Universidad</t>
    </r>
  </si>
  <si>
    <r>
      <rPr>
        <b/>
        <sz val="10"/>
        <rFont val="Tahoma"/>
        <family val="2"/>
      </rPr>
      <t>29.</t>
    </r>
    <r>
      <rPr>
        <sz val="10"/>
        <rFont val="Tahoma"/>
        <family val="2"/>
      </rPr>
      <t xml:space="preserve"> </t>
    </r>
    <r>
      <rPr>
        <sz val="10"/>
        <color indexed="8"/>
        <rFont val="Tahoma"/>
        <family val="2"/>
      </rPr>
      <t>Capacitar y socializar la metodología para la investigación</t>
    </r>
  </si>
  <si>
    <r>
      <rPr>
        <b/>
        <sz val="10"/>
        <color indexed="8"/>
        <rFont val="Tahoma"/>
        <family val="2"/>
      </rPr>
      <t xml:space="preserve">30. </t>
    </r>
    <r>
      <rPr>
        <sz val="10"/>
        <color indexed="8"/>
        <rFont val="Tahoma"/>
        <family val="2"/>
      </rPr>
      <t>Evaluar las propuestas de mejoramiento sobre resultados de investigación en el Hospital</t>
    </r>
  </si>
  <si>
    <t>INDICADORES/METAS 2014 - 2017</t>
  </si>
  <si>
    <t xml:space="preserve">% Satisfaccion general de servicios </t>
  </si>
  <si>
    <t>% Cumplimiento de grado de seguridad de paciente</t>
  </si>
  <si>
    <t>% Satisfaccion en dotacion del personal</t>
  </si>
  <si>
    <t>% Porcentaje de ocupacion</t>
  </si>
  <si>
    <t>% Cumplimiento de Estándares Acreditación</t>
  </si>
  <si>
    <t>% Nivel de desempeño</t>
  </si>
  <si>
    <t>% cumplimiento de Practicas Organizacionales Requeridas</t>
  </si>
  <si>
    <t>platino 100%</t>
  </si>
  <si>
    <t>Cumplimiento de trámites y requisitos previos, para repontenciación como Hospital de Especialidades de 400 camas.</t>
  </si>
  <si>
    <t>1. ELABORACION Y APROBACION DEL PROGRAMA MEDICO FUNCIONAL</t>
  </si>
  <si>
    <t>2. GESTION DE CONTRATACION DE CONSULTORIA SECOB - MSP</t>
  </si>
  <si>
    <t>3. PRESENTACION DEL ESTUDIO INTEGRAL DE INTERVENCION.</t>
  </si>
  <si>
    <t xml:space="preserve">4. GESTION DE PRESUPUESTO Y FINANCIAMIENTO </t>
  </si>
  <si>
    <t>% De pacientes agendados sin pertinencia medica hacia especialistas</t>
  </si>
  <si>
    <t>% De espera en consulta menor a 15 dias</t>
  </si>
  <si>
    <t>Número de derivaciones a la Red Complementaria por año.</t>
  </si>
  <si>
    <t>% Satisfacción de profesionales de distritos sobre capacitación y asesoria</t>
  </si>
  <si>
    <t>% Muerte materna</t>
  </si>
  <si>
    <t>% Muerte neonatal</t>
  </si>
  <si>
    <t>Proyeccion de la Meta Presupuestaria</t>
  </si>
  <si>
    <t>Avance de la Ejecución Presupuestaria</t>
  </si>
  <si>
    <t>Se incrementa la meta por funcionamiento del Equipo de tomografo a partir del segundo cuatrimestre</t>
  </si>
  <si>
    <t>Se corrige la meta técnica en función de ser atenciones y no pacientes el número del indicador</t>
  </si>
  <si>
    <t>Corrección de meta técnica desde el segundo cuatrimestre</t>
  </si>
  <si>
    <t>No existe asignación presupuestaria para estas capacitaciones</t>
  </si>
  <si>
    <t>Dra. Sandra Toapanta P.</t>
  </si>
  <si>
    <t>Directora Médica Asistencial HVCM</t>
  </si>
  <si>
    <t>EVALUACION DEL POA SEGUNDO CUATRIMESTRE DE 2016</t>
  </si>
  <si>
    <t xml:space="preserve">PERIODO: MAYO  AGOSTO  2016 </t>
  </si>
  <si>
    <t>Total presupuesto al 31 de JULIO de 2016</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</si>
</sst>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10409]&quot;&quot;#,##0.00;&quot;&quot;\-#,##0.00;&quot;0.00&quot;"/>
    <numFmt numFmtId="187" formatCode="[$-10409]&quot;&quot;0.00;&quot;&quot;\-0.00;&quot;0.00&quot;"/>
    <numFmt numFmtId="188" formatCode="0.000"/>
    <numFmt numFmtId="189" formatCode="0.0000"/>
    <numFmt numFmtId="190" formatCode="h\:mm\.ss\ "/>
    <numFmt numFmtId="191" formatCode="_(* #,##0.000_);_(* \(#,##0.000\);_(* &quot;-&quot;??_);_(@_)"/>
    <numFmt numFmtId="192" formatCode="_(* #,##0.0000_);_(* \(#,##0.0000\);_(* &quot;-&quot;??_);_(@_)"/>
    <numFmt numFmtId="193" formatCode="0.0000%"/>
    <numFmt numFmtId="194" formatCode="#,##0.0"/>
    <numFmt numFmtId="195" formatCode="#,##0.000"/>
    <numFmt numFmtId="196" formatCode="&quot;$&quot;\ #,##0.00"/>
    <numFmt numFmtId="197" formatCode="_(* #,##0.0_);_(* \(#,##0.0\);_(* &quot;-&quot;??_);_(@_)"/>
    <numFmt numFmtId="198" formatCode="0;[Red]0"/>
    <numFmt numFmtId="199" formatCode="0.000000"/>
    <numFmt numFmtId="200" formatCode="0.00000"/>
    <numFmt numFmtId="201" formatCode="#,##0.00_ ;\-#,##0.00\ "/>
    <numFmt numFmtId="202" formatCode="#,##0.0000000000_ ;\-#,##0.0000000000\ "/>
    <numFmt numFmtId="203" formatCode="0.0000000"/>
    <numFmt numFmtId="204" formatCode="[$-10409]0;\(0\)"/>
    <numFmt numFmtId="205" formatCode="[$-10409]&quot;&quot;0;&quot;&quot;\(0\);&quot;0&quot;"/>
    <numFmt numFmtId="206" formatCode="[$$-300A]#,##0.00;[Red][$$-300A]\-#,##0.00"/>
    <numFmt numFmtId="207" formatCode="d&quot; de &quot;mmm&quot; de &quot;yy"/>
    <numFmt numFmtId="208" formatCode="&quot;$ &quot;#,##0.00"/>
    <numFmt numFmtId="209" formatCode="#,##0.0000"/>
    <numFmt numFmtId="210" formatCode="#,##0.000000000_ ;\-#,##0.000000000\ "/>
    <numFmt numFmtId="211" formatCode="#,##0.00000000_ ;\-#,##0.00000000\ "/>
    <numFmt numFmtId="212" formatCode="#,##0.0000000_ ;\-#,##0.0000000\ "/>
    <numFmt numFmtId="213" formatCode="#,##0.000000_ ;\-#,##0.000000\ "/>
    <numFmt numFmtId="214" formatCode="#,##0.00000_ ;\-#,##0.00000\ "/>
    <numFmt numFmtId="215" formatCode="#,##0.0000_ ;\-#,##0.0000\ "/>
    <numFmt numFmtId="216" formatCode="#,##0.000_ ;\-#,##0.000\ "/>
    <numFmt numFmtId="217" formatCode="#,##0.0000000000000000_ ;\-#,##0.0000000000000000\ "/>
    <numFmt numFmtId="218" formatCode="#,##0.000000000000000_ ;\-#,##0.000000000000000\ "/>
    <numFmt numFmtId="219" formatCode="#,##0.00000000000000_ ;\-#,##0.00000000000000\ "/>
    <numFmt numFmtId="220" formatCode="#,##0.0000000000000_ ;\-#,##0.0000000000000\ "/>
    <numFmt numFmtId="221" formatCode="#,##0.000000000000_ ;\-#,##0.000000000000\ "/>
    <numFmt numFmtId="222" formatCode="#,##0.00000000000_ ;\-#,##0.00000000000\ "/>
    <numFmt numFmtId="223" formatCode="#,##0.0_ ;\-#,##0.0\ "/>
    <numFmt numFmtId="224" formatCode="#,##0_ ;\-#,##0\ "/>
  </numFmts>
  <fonts count="67">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8"/>
      <color indexed="8"/>
      <name val="Calibri"/>
      <family val="2"/>
    </font>
    <font>
      <b/>
      <sz val="8"/>
      <color indexed="8"/>
      <name val="Arial"/>
      <family val="2"/>
    </font>
    <font>
      <b/>
      <sz val="7"/>
      <color indexed="8"/>
      <name val="Arial"/>
      <family val="2"/>
    </font>
    <font>
      <sz val="7"/>
      <color indexed="8"/>
      <name val="Arial"/>
      <family val="2"/>
    </font>
    <font>
      <sz val="8"/>
      <name val="Arial"/>
      <family val="2"/>
    </font>
    <font>
      <b/>
      <sz val="8"/>
      <name val="Arial"/>
      <family val="2"/>
    </font>
    <font>
      <sz val="8"/>
      <color indexed="8"/>
      <name val="Arial"/>
      <family val="2"/>
    </font>
    <font>
      <b/>
      <sz val="8"/>
      <color indexed="8"/>
      <name val="Calibri"/>
      <family val="2"/>
    </font>
    <font>
      <sz val="8"/>
      <color indexed="27"/>
      <name val="Calibri"/>
      <family val="2"/>
    </font>
    <font>
      <sz val="8"/>
      <name val="Calibri"/>
      <family val="2"/>
    </font>
    <font>
      <sz val="10"/>
      <color indexed="8"/>
      <name val="Arial"/>
      <family val="2"/>
    </font>
    <font>
      <b/>
      <sz val="10"/>
      <name val="Arial"/>
      <family val="2"/>
    </font>
    <font>
      <b/>
      <sz val="10"/>
      <color indexed="8"/>
      <name val="Tahoma"/>
      <family val="2"/>
    </font>
    <font>
      <b/>
      <sz val="10"/>
      <name val="Tahoma"/>
      <family val="2"/>
    </font>
    <font>
      <b/>
      <sz val="11"/>
      <name val="Tahoma"/>
      <family val="2"/>
    </font>
    <font>
      <b/>
      <sz val="14"/>
      <name val="Tahoma"/>
      <family val="2"/>
    </font>
    <font>
      <b/>
      <sz val="16"/>
      <color indexed="9"/>
      <name val="Tahoma"/>
      <family val="2"/>
    </font>
    <font>
      <sz val="12"/>
      <name val="Tahoma"/>
      <family val="2"/>
    </font>
    <font>
      <b/>
      <sz val="12"/>
      <name val="Arial"/>
      <family val="2"/>
    </font>
    <font>
      <sz val="10"/>
      <color indexed="8"/>
      <name val="Tahoma"/>
      <family val="2"/>
    </font>
    <font>
      <sz val="12"/>
      <name val="Arial"/>
      <family val="2"/>
    </font>
    <font>
      <i/>
      <sz val="10"/>
      <name val="Tahoma"/>
      <family val="2"/>
    </font>
    <font>
      <b/>
      <sz val="8"/>
      <color indexed="8"/>
      <name val="Tahoma"/>
      <family val="2"/>
    </font>
    <font>
      <sz val="8"/>
      <color indexed="8"/>
      <name val="Tahoma"/>
      <family val="2"/>
    </font>
    <font>
      <b/>
      <sz val="8"/>
      <name val="Tahoma"/>
      <family val="2"/>
    </font>
    <font>
      <b/>
      <sz val="10"/>
      <name val="Calibri"/>
      <family val="2"/>
    </font>
    <font>
      <b/>
      <sz val="8"/>
      <name val="Calibri"/>
      <family val="2"/>
    </font>
    <font>
      <b/>
      <sz val="12"/>
      <color indexed="8"/>
      <name val="Calibri"/>
      <family val="2"/>
    </font>
    <font>
      <sz val="9"/>
      <name val="宋体"/>
      <family val="0"/>
    </font>
    <font>
      <sz val="7"/>
      <name val="Arial"/>
      <family val="2"/>
    </font>
    <font>
      <sz val="9"/>
      <color indexed="8"/>
      <name val="Arial"/>
      <family val="2"/>
    </font>
    <font>
      <b/>
      <sz val="10"/>
      <color indexed="8"/>
      <name val="Calibri"/>
      <family val="2"/>
    </font>
    <font>
      <b/>
      <sz val="20"/>
      <color indexed="9"/>
      <name val="Tahoma"/>
      <family val="2"/>
    </font>
    <font>
      <sz val="10"/>
      <name val="Tahoma"/>
      <family val="2"/>
    </font>
    <font>
      <b/>
      <sz val="12"/>
      <name val="Tahoma"/>
      <family val="2"/>
    </font>
    <font>
      <sz val="12"/>
      <color indexed="8"/>
      <name val="Tahoma"/>
      <family val="2"/>
    </font>
    <font>
      <sz val="8"/>
      <name val="Tahoma"/>
      <family val="2"/>
    </font>
    <font>
      <b/>
      <sz val="11"/>
      <name val="Arial"/>
      <family val="2"/>
    </font>
    <font>
      <u val="single"/>
      <sz val="11"/>
      <color indexed="12"/>
      <name val="Calibri"/>
      <family val="2"/>
    </font>
    <font>
      <sz val="8"/>
      <color indexed="10"/>
      <name val="Arial"/>
      <family val="2"/>
    </font>
    <font>
      <sz val="8"/>
      <color indexed="10"/>
      <name val="Calibri"/>
      <family val="2"/>
    </font>
    <font>
      <b/>
      <sz val="24"/>
      <color indexed="13"/>
      <name val="Bookman Old Style"/>
      <family val="0"/>
    </font>
    <font>
      <b/>
      <sz val="24"/>
      <color indexed="9"/>
      <name val="Bookman Old Style"/>
      <family val="0"/>
    </font>
    <font>
      <b/>
      <sz val="24"/>
      <color indexed="10"/>
      <name val="Bookman Old Style"/>
      <family val="0"/>
    </font>
    <font>
      <b/>
      <sz val="24"/>
      <color indexed="62"/>
      <name val="Bookman Old Style"/>
      <family val="0"/>
    </font>
    <font>
      <u val="single"/>
      <sz val="11"/>
      <color theme="10"/>
      <name val="Calibri"/>
      <family val="2"/>
    </font>
    <font>
      <sz val="10"/>
      <color rgb="FF000000"/>
      <name val="Tahoma"/>
      <family val="2"/>
    </font>
    <font>
      <sz val="8"/>
      <color rgb="FFFF0000"/>
      <name val="Arial"/>
      <family val="2"/>
    </font>
    <font>
      <sz val="8"/>
      <color rgb="FFFF0000"/>
      <name val="Calibri"/>
      <family val="2"/>
    </font>
  </fonts>
  <fills count="11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5" tint="0.39998000860214233"/>
        <bgColor indexed="64"/>
      </patternFill>
    </fill>
    <fill>
      <patternFill patternType="solid">
        <fgColor theme="0"/>
        <bgColor indexed="64"/>
      </patternFill>
    </fill>
    <fill>
      <patternFill patternType="solid">
        <fgColor theme="0"/>
        <bgColor indexed="64"/>
      </patternFill>
    </fill>
    <fill>
      <patternFill patternType="lightGrid">
        <bgColor theme="0"/>
      </patternFill>
    </fill>
    <fill>
      <patternFill patternType="solid">
        <fgColor theme="0"/>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rgb="FF00B050"/>
        <bgColor indexed="64"/>
      </patternFill>
    </fill>
    <fill>
      <patternFill patternType="solid">
        <fgColor theme="8" tint="0.7999799847602844"/>
        <bgColor indexed="64"/>
      </patternFill>
    </fill>
    <fill>
      <patternFill patternType="lightGrid">
        <bgColor rgb="FF00B0F0"/>
      </patternFill>
    </fill>
    <fill>
      <patternFill patternType="solid">
        <fgColor theme="0"/>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7" tint="0.5999900102615356"/>
        <bgColor indexed="64"/>
      </patternFill>
    </fill>
    <fill>
      <patternFill patternType="gray125">
        <fgColor indexed="26"/>
        <bgColor theme="7" tint="0.7999799847602844"/>
      </patternFill>
    </fill>
    <fill>
      <patternFill patternType="lightGrid">
        <bgColor theme="7" tint="0.7999799847602844"/>
      </patternFill>
    </fill>
    <fill>
      <patternFill patternType="solid">
        <fgColor theme="9"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lightGrid">
        <bgColor theme="8" tint="0.5999900102615356"/>
      </patternFill>
    </fill>
    <fill>
      <patternFill patternType="solid">
        <fgColor theme="9" tint="0.5999900102615356"/>
        <bgColor indexed="64"/>
      </patternFill>
    </fill>
    <fill>
      <patternFill patternType="gray125">
        <fgColor indexed="26"/>
        <bgColor theme="0"/>
      </patternFill>
    </fill>
    <fill>
      <patternFill patternType="solid">
        <fgColor theme="6" tint="0.39998000860214233"/>
        <bgColor indexed="64"/>
      </patternFill>
    </fill>
    <fill>
      <patternFill patternType="solid">
        <fgColor theme="6" tint="0.39998000860214233"/>
        <bgColor indexed="64"/>
      </patternFill>
    </fill>
    <fill>
      <patternFill patternType="lightGrid">
        <bgColor theme="6" tint="0.39998000860214233"/>
      </patternFill>
    </fill>
    <fill>
      <patternFill patternType="gray125">
        <bgColor theme="7" tint="0.7999799847602844"/>
      </patternFill>
    </fill>
    <fill>
      <patternFill patternType="gray125">
        <fgColor indexed="26"/>
        <bgColor theme="4" tint="0.5999900102615356"/>
      </patternFill>
    </fill>
    <fill>
      <patternFill patternType="solid">
        <fgColor theme="8"/>
        <bgColor indexed="64"/>
      </patternFill>
    </fill>
    <fill>
      <patternFill patternType="lightGrid">
        <bgColor theme="7" tint="0.5999900102615356"/>
      </patternFill>
    </fill>
    <fill>
      <patternFill patternType="solid">
        <fgColor theme="3" tint="0.7999799847602844"/>
        <bgColor indexed="64"/>
      </patternFill>
    </fill>
    <fill>
      <patternFill patternType="solid">
        <fgColor theme="7" tint="0.7999799847602844"/>
        <bgColor indexed="64"/>
      </patternFill>
    </fill>
    <fill>
      <patternFill patternType="solid">
        <fgColor theme="5" tint="0.39998000860214233"/>
        <bgColor indexed="64"/>
      </patternFill>
    </fill>
    <fill>
      <patternFill patternType="lightGrid">
        <bgColor theme="5" tint="0.39998000860214233"/>
      </patternFill>
    </fill>
    <fill>
      <patternFill patternType="gray0625"/>
    </fill>
    <fill>
      <patternFill patternType="gray0625">
        <fgColor indexed="9"/>
        <bgColor theme="7" tint="0.5999900102615356"/>
      </patternFill>
    </fill>
    <fill>
      <patternFill patternType="solid">
        <fgColor theme="0" tint="-0.24997000396251678"/>
        <bgColor indexed="64"/>
      </patternFill>
    </fill>
    <fill>
      <patternFill patternType="gray0625">
        <bgColor theme="4" tint="0.5999900102615356"/>
      </patternFill>
    </fill>
    <fill>
      <patternFill patternType="solid">
        <fgColor theme="9" tint="0.7999799847602844"/>
        <bgColor indexed="64"/>
      </patternFill>
    </fill>
    <fill>
      <patternFill patternType="solid">
        <fgColor theme="5" tint="0.5999900102615356"/>
        <bgColor indexed="64"/>
      </patternFill>
    </fill>
    <fill>
      <patternFill patternType="gray0625">
        <fgColor indexed="26"/>
        <bgColor theme="4" tint="0.5999900102615356"/>
      </patternFill>
    </fill>
    <fill>
      <patternFill patternType="solid">
        <fgColor rgb="FF00B050"/>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8" tint="-0.24997000396251678"/>
        <bgColor indexed="64"/>
      </patternFill>
    </fill>
    <fill>
      <patternFill patternType="gray125">
        <fgColor indexed="26"/>
        <bgColor theme="8" tint="-0.24997000396251678"/>
      </patternFill>
    </fill>
    <fill>
      <patternFill patternType="solid">
        <fgColor theme="8" tint="-0.24997000396251678"/>
        <bgColor indexed="64"/>
      </patternFill>
    </fill>
    <fill>
      <patternFill patternType="solid">
        <fgColor rgb="FFFF0000"/>
        <bgColor indexed="64"/>
      </patternFill>
    </fill>
    <fill>
      <patternFill patternType="solid">
        <fgColor rgb="FF92D050"/>
        <bgColor indexed="64"/>
      </patternFill>
    </fill>
    <fill>
      <patternFill patternType="solid">
        <fgColor rgb="FFFF0000"/>
        <bgColor indexed="64"/>
      </patternFill>
    </fill>
    <fill>
      <patternFill patternType="solid">
        <fgColor theme="6" tint="0.39998000860214233"/>
        <bgColor indexed="64"/>
      </patternFill>
    </fill>
    <fill>
      <patternFill patternType="solid">
        <fgColor rgb="FFFFCCFF"/>
        <bgColor indexed="64"/>
      </patternFill>
    </fill>
    <fill>
      <patternFill patternType="solid">
        <fgColor rgb="FFCCFF99"/>
        <bgColor indexed="64"/>
      </patternFill>
    </fill>
    <fill>
      <patternFill patternType="solid">
        <fgColor theme="6" tint="0.5999900102615356"/>
        <bgColor indexed="64"/>
      </patternFill>
    </fill>
    <fill>
      <patternFill patternType="solid">
        <fgColor rgb="FFFFFF00"/>
        <bgColor indexed="64"/>
      </patternFill>
    </fill>
    <fill>
      <patternFill patternType="solid">
        <fgColor theme="9" tint="-0.24997000396251678"/>
        <bgColor indexed="64"/>
      </patternFill>
    </fill>
    <fill>
      <patternFill patternType="solid">
        <fgColor theme="9" tint="-0.24997000396251678"/>
        <bgColor indexed="64"/>
      </patternFill>
    </fill>
    <fill>
      <patternFill patternType="gray0625">
        <fgColor indexed="26"/>
        <bgColor theme="3" tint="0.5999900102615356"/>
      </patternFill>
    </fill>
    <fill>
      <patternFill patternType="solid">
        <fgColor rgb="FFFFCC66"/>
        <bgColor indexed="64"/>
      </patternFill>
    </fill>
    <fill>
      <patternFill patternType="solid">
        <fgColor indexed="65"/>
        <bgColor indexed="64"/>
      </patternFill>
    </fill>
    <fill>
      <patternFill patternType="solid">
        <fgColor rgb="FF92D050"/>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3" tint="0.5999900102615356"/>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8" tint="-0.24997000396251678"/>
        <bgColor indexed="64"/>
      </patternFill>
    </fill>
    <fill>
      <patternFill patternType="solid">
        <fgColor rgb="FF00FFFF"/>
        <bgColor indexed="64"/>
      </patternFill>
    </fill>
    <fill>
      <patternFill patternType="solid">
        <fgColor rgb="FFFFF2FF"/>
        <bgColor indexed="64"/>
      </patternFill>
    </fill>
    <fill>
      <patternFill patternType="solid">
        <fgColor rgb="FFF2FFC9"/>
        <bgColor indexed="64"/>
      </patternFill>
    </fill>
    <fill>
      <patternFill patternType="solid">
        <fgColor rgb="FFF2E5FF"/>
        <bgColor indexed="64"/>
      </patternFill>
    </fill>
    <fill>
      <patternFill patternType="solid">
        <fgColor rgb="FFD1FFFF"/>
        <bgColor indexed="64"/>
      </patternFill>
    </fill>
    <fill>
      <patternFill patternType="solid">
        <fgColor rgb="FFFFF1D5"/>
        <bgColor indexed="64"/>
      </patternFill>
    </fill>
    <fill>
      <patternFill patternType="solid">
        <fgColor indexed="48"/>
        <bgColor indexed="64"/>
      </patternFill>
    </fill>
    <fill>
      <patternFill patternType="solid">
        <fgColor rgb="FFCC99FF"/>
        <bgColor indexed="64"/>
      </patternFill>
    </fill>
    <fill>
      <patternFill patternType="solid">
        <fgColor theme="9" tint="0.5999900102615356"/>
        <bgColor indexed="64"/>
      </patternFill>
    </fill>
    <fill>
      <patternFill patternType="solid">
        <fgColor theme="3" tint="0.39998000860214233"/>
        <bgColor indexed="64"/>
      </patternFill>
    </fill>
    <fill>
      <patternFill patternType="solid">
        <fgColor theme="2"/>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thin"/>
      <top>
        <color indexed="63"/>
      </top>
      <bottom style="double"/>
    </border>
    <border>
      <left style="thin"/>
      <right style="medium"/>
      <top style="thin"/>
      <bottom style="double"/>
    </border>
    <border>
      <left>
        <color indexed="63"/>
      </left>
      <right>
        <color indexed="63"/>
      </right>
      <top style="thin"/>
      <bottom style="double"/>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medium"/>
      <top>
        <color indexed="63"/>
      </top>
      <bottom style="double"/>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thin"/>
      <right style="thin"/>
      <top style="double"/>
      <bottom>
        <color indexed="63"/>
      </bottom>
    </border>
    <border>
      <left style="medium"/>
      <right>
        <color indexed="63"/>
      </right>
      <top style="thin"/>
      <bottom style="double"/>
    </border>
    <border>
      <left>
        <color indexed="63"/>
      </left>
      <right style="thin"/>
      <top style="thin"/>
      <bottom style="double"/>
    </border>
    <border>
      <left style="thin"/>
      <right>
        <color indexed="63"/>
      </right>
      <top style="thin"/>
      <bottom>
        <color indexed="63"/>
      </bottom>
    </border>
    <border>
      <left style="thin"/>
      <right>
        <color indexed="63"/>
      </right>
      <top>
        <color indexed="63"/>
      </top>
      <bottom style="medium"/>
    </border>
    <border>
      <left style="thin"/>
      <right style="thin"/>
      <top style="thin"/>
      <bottom style="medium"/>
    </border>
    <border>
      <left style="thin"/>
      <right style="medium"/>
      <top style="thin"/>
      <bottom/>
    </border>
    <border>
      <left style="thin"/>
      <right style="medium"/>
      <top/>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thin"/>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style="medium"/>
      <top style="thin"/>
      <bottom>
        <color indexed="63"/>
      </bottom>
    </border>
    <border>
      <left style="medium"/>
      <right style="medium"/>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63" fillId="0" borderId="0" applyNumberFormat="0" applyFill="0" applyBorder="0" applyAlignment="0" applyProtection="0"/>
    <xf numFmtId="0" fontId="9"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0" fillId="22" borderId="0" applyNumberFormat="0" applyBorder="0" applyAlignment="0" applyProtection="0"/>
    <xf numFmtId="0" fontId="1" fillId="0" borderId="0">
      <alignment/>
      <protection/>
    </xf>
    <xf numFmtId="0" fontId="1" fillId="0" borderId="0">
      <alignment/>
      <protection/>
    </xf>
    <xf numFmtId="0" fontId="0" fillId="23" borderId="4" applyNumberFormat="0" applyAlignment="0" applyProtection="0"/>
    <xf numFmtId="9" fontId="1" fillId="0" borderId="0" applyFill="0" applyBorder="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xf numFmtId="0" fontId="46" fillId="0" borderId="0">
      <alignment vertical="center"/>
      <protection/>
    </xf>
  </cellStyleXfs>
  <cellXfs count="1475">
    <xf numFmtId="0" fontId="0" fillId="0" borderId="0" xfId="0" applyAlignment="1">
      <alignment/>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alignment/>
    </xf>
    <xf numFmtId="0" fontId="18" fillId="24" borderId="0" xfId="0" applyFont="1" applyFill="1" applyBorder="1" applyAlignment="1">
      <alignment/>
    </xf>
    <xf numFmtId="0" fontId="18" fillId="0" borderId="0" xfId="0" applyFont="1" applyBorder="1" applyAlignment="1">
      <alignment/>
    </xf>
    <xf numFmtId="0" fontId="18" fillId="6" borderId="10" xfId="0" applyFont="1" applyFill="1" applyBorder="1" applyAlignment="1">
      <alignment/>
    </xf>
    <xf numFmtId="0" fontId="18" fillId="6" borderId="11" xfId="0" applyFont="1" applyFill="1" applyBorder="1" applyAlignment="1">
      <alignment/>
    </xf>
    <xf numFmtId="0" fontId="18" fillId="6" borderId="0" xfId="0" applyFont="1" applyFill="1" applyBorder="1" applyAlignment="1">
      <alignment/>
    </xf>
    <xf numFmtId="0" fontId="18" fillId="6" borderId="0" xfId="0" applyFont="1" applyFill="1" applyBorder="1" applyAlignment="1">
      <alignment/>
    </xf>
    <xf numFmtId="0" fontId="18" fillId="6" borderId="12" xfId="0" applyFont="1" applyFill="1" applyBorder="1" applyAlignment="1">
      <alignment/>
    </xf>
    <xf numFmtId="0" fontId="18" fillId="0" borderId="0" xfId="0" applyFont="1" applyAlignment="1">
      <alignment/>
    </xf>
    <xf numFmtId="0" fontId="24" fillId="6" borderId="0" xfId="0" applyFont="1" applyFill="1" applyBorder="1" applyAlignment="1">
      <alignment/>
    </xf>
    <xf numFmtId="0" fontId="18" fillId="0" borderId="0" xfId="0" applyFont="1" applyBorder="1" applyAlignment="1">
      <alignment/>
    </xf>
    <xf numFmtId="0" fontId="18" fillId="6" borderId="13" xfId="0" applyFont="1" applyFill="1" applyBorder="1" applyAlignment="1">
      <alignment/>
    </xf>
    <xf numFmtId="0" fontId="18" fillId="6" borderId="14" xfId="0" applyFont="1" applyFill="1" applyBorder="1" applyAlignment="1">
      <alignment/>
    </xf>
    <xf numFmtId="0" fontId="18" fillId="24" borderId="0" xfId="0" applyFont="1" applyFill="1" applyAlignment="1">
      <alignment/>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xf>
    <xf numFmtId="0" fontId="18" fillId="0" borderId="15" xfId="0" applyFont="1" applyBorder="1" applyAlignment="1">
      <alignment/>
    </xf>
    <xf numFmtId="0" fontId="24" fillId="22" borderId="15" xfId="0" applyFont="1" applyFill="1" applyBorder="1" applyAlignment="1">
      <alignment vertical="center" wrapText="1"/>
    </xf>
    <xf numFmtId="0" fontId="24" fillId="0" borderId="0" xfId="0" applyFont="1" applyAlignment="1">
      <alignment/>
    </xf>
    <xf numFmtId="0" fontId="18" fillId="0" borderId="0" xfId="0" applyFont="1" applyFill="1" applyBorder="1" applyAlignment="1">
      <alignment/>
    </xf>
    <xf numFmtId="0" fontId="19" fillId="0" borderId="0" xfId="0" applyFont="1" applyFill="1" applyBorder="1" applyAlignment="1">
      <alignment/>
    </xf>
    <xf numFmtId="0" fontId="24" fillId="0" borderId="0" xfId="0" applyFont="1" applyFill="1" applyBorder="1" applyAlignment="1">
      <alignment horizontal="center"/>
    </xf>
    <xf numFmtId="0" fontId="24" fillId="0" borderId="0" xfId="0" applyFont="1" applyFill="1" applyBorder="1" applyAlignment="1">
      <alignment horizontal="left"/>
    </xf>
    <xf numFmtId="0" fontId="19" fillId="0" borderId="0" xfId="0" applyFont="1" applyFill="1" applyBorder="1" applyAlignment="1">
      <alignment horizontal="left" vertical="center" wrapText="1"/>
    </xf>
    <xf numFmtId="1" fontId="18" fillId="0" borderId="0" xfId="0" applyNumberFormat="1" applyFont="1" applyFill="1" applyBorder="1" applyAlignment="1">
      <alignment/>
    </xf>
    <xf numFmtId="0" fontId="25" fillId="6" borderId="0" xfId="0" applyFont="1" applyFill="1" applyBorder="1" applyAlignment="1">
      <alignment/>
    </xf>
    <xf numFmtId="0" fontId="24" fillId="23" borderId="15" xfId="0" applyFont="1" applyFill="1" applyBorder="1" applyAlignment="1">
      <alignment vertical="center" wrapText="1"/>
    </xf>
    <xf numFmtId="0" fontId="18"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8" fillId="0" borderId="15" xfId="0" applyFont="1" applyFill="1" applyBorder="1" applyAlignment="1">
      <alignment vertical="center" wrapText="1"/>
    </xf>
    <xf numFmtId="0" fontId="24" fillId="0" borderId="15" xfId="0" applyFont="1" applyFill="1" applyBorder="1" applyAlignment="1">
      <alignment vertical="center" wrapText="1"/>
    </xf>
    <xf numFmtId="3" fontId="24" fillId="22" borderId="15" xfId="0" applyNumberFormat="1" applyFont="1" applyFill="1" applyBorder="1" applyAlignment="1">
      <alignment vertical="center" wrapText="1"/>
    </xf>
    <xf numFmtId="49" fontId="24" fillId="0" borderId="15" xfId="0" applyNumberFormat="1" applyFont="1" applyFill="1" applyBorder="1" applyAlignment="1">
      <alignment horizontal="center" vertical="center" wrapText="1"/>
    </xf>
    <xf numFmtId="0" fontId="18" fillId="25" borderId="0" xfId="0" applyFont="1" applyFill="1" applyAlignment="1">
      <alignment/>
    </xf>
    <xf numFmtId="0" fontId="18" fillId="24" borderId="0" xfId="0" applyFont="1" applyFill="1" applyBorder="1" applyAlignment="1">
      <alignment horizontal="right"/>
    </xf>
    <xf numFmtId="0" fontId="18" fillId="6" borderId="10" xfId="0" applyFont="1" applyFill="1" applyBorder="1" applyAlignment="1">
      <alignment horizontal="right"/>
    </xf>
    <xf numFmtId="0" fontId="18" fillId="6" borderId="0" xfId="0" applyFont="1" applyFill="1" applyBorder="1" applyAlignment="1">
      <alignment horizontal="right"/>
    </xf>
    <xf numFmtId="0" fontId="26" fillId="6" borderId="0" xfId="0" applyFont="1" applyFill="1" applyBorder="1" applyAlignment="1">
      <alignment horizontal="right"/>
    </xf>
    <xf numFmtId="0" fontId="18" fillId="6" borderId="13" xfId="0" applyFont="1" applyFill="1" applyBorder="1" applyAlignment="1">
      <alignment horizontal="right"/>
    </xf>
    <xf numFmtId="0" fontId="18" fillId="24" borderId="0" xfId="0" applyFont="1" applyFill="1" applyAlignment="1">
      <alignment horizontal="right"/>
    </xf>
    <xf numFmtId="0" fontId="24" fillId="0" borderId="0" xfId="0" applyFont="1" applyFill="1" applyBorder="1" applyAlignment="1">
      <alignment horizontal="right"/>
    </xf>
    <xf numFmtId="0" fontId="18" fillId="0" borderId="15" xfId="0" applyFont="1" applyFill="1" applyBorder="1" applyAlignment="1">
      <alignment horizontal="right" vertical="center" wrapText="1"/>
    </xf>
    <xf numFmtId="0" fontId="24" fillId="0" borderId="0" xfId="0" applyFont="1" applyAlignment="1">
      <alignment horizontal="right"/>
    </xf>
    <xf numFmtId="0" fontId="24" fillId="0" borderId="0" xfId="0" applyFont="1" applyFill="1" applyBorder="1" applyAlignment="1">
      <alignment horizontal="right" vertical="center" wrapText="1"/>
    </xf>
    <xf numFmtId="0" fontId="18" fillId="0" borderId="0" xfId="0" applyFont="1" applyAlignment="1">
      <alignment horizontal="right"/>
    </xf>
    <xf numFmtId="0" fontId="18" fillId="0" borderId="0" xfId="0" applyFont="1" applyFill="1" applyBorder="1" applyAlignment="1">
      <alignment horizontal="right"/>
    </xf>
    <xf numFmtId="49" fontId="19" fillId="6" borderId="16" xfId="0" applyNumberFormat="1" applyFont="1" applyFill="1" applyBorder="1" applyAlignment="1">
      <alignment vertical="center"/>
    </xf>
    <xf numFmtId="49" fontId="18" fillId="6" borderId="17" xfId="0" applyNumberFormat="1" applyFont="1" applyFill="1" applyBorder="1" applyAlignment="1">
      <alignment vertical="center"/>
    </xf>
    <xf numFmtId="0" fontId="18" fillId="6" borderId="13" xfId="0" applyFont="1" applyFill="1" applyBorder="1" applyAlignment="1">
      <alignment/>
    </xf>
    <xf numFmtId="0" fontId="18" fillId="0" borderId="15" xfId="0" applyFont="1" applyFill="1" applyBorder="1" applyAlignment="1">
      <alignment horizontal="center" vertical="center"/>
    </xf>
    <xf numFmtId="0" fontId="19" fillId="6" borderId="18" xfId="0" applyFont="1" applyFill="1" applyBorder="1" applyAlignment="1">
      <alignment wrapText="1"/>
    </xf>
    <xf numFmtId="49" fontId="18" fillId="0" borderId="15" xfId="0" applyNumberFormat="1" applyFont="1" applyBorder="1" applyAlignment="1">
      <alignment vertical="center"/>
    </xf>
    <xf numFmtId="49" fontId="18" fillId="0" borderId="15" xfId="0" applyNumberFormat="1" applyFont="1" applyFill="1" applyBorder="1" applyAlignment="1">
      <alignment vertical="center" wrapText="1"/>
    </xf>
    <xf numFmtId="1" fontId="18" fillId="0" borderId="15" xfId="0" applyNumberFormat="1" applyFont="1" applyFill="1" applyBorder="1" applyAlignment="1">
      <alignment horizontal="right" vertical="center" wrapText="1"/>
    </xf>
    <xf numFmtId="0" fontId="24" fillId="0" borderId="15" xfId="0" applyFont="1" applyFill="1" applyBorder="1" applyAlignment="1">
      <alignment vertical="center"/>
    </xf>
    <xf numFmtId="4" fontId="22" fillId="26" borderId="15" xfId="53" applyNumberFormat="1" applyFont="1" applyFill="1" applyBorder="1" applyAlignment="1" applyProtection="1">
      <alignment horizontal="right" vertical="center" wrapText="1"/>
      <protection locked="0"/>
    </xf>
    <xf numFmtId="9" fontId="22" fillId="0" borderId="0" xfId="55" applyFont="1" applyAlignment="1">
      <alignment horizontal="right"/>
    </xf>
    <xf numFmtId="4" fontId="18" fillId="0" borderId="0" xfId="0" applyNumberFormat="1" applyFont="1" applyAlignment="1">
      <alignment horizontal="right"/>
    </xf>
    <xf numFmtId="4" fontId="18" fillId="0" borderId="0" xfId="0" applyNumberFormat="1" applyFont="1" applyAlignment="1">
      <alignment horizontal="right" indent="1"/>
    </xf>
    <xf numFmtId="2" fontId="18" fillId="0" borderId="0" xfId="0" applyNumberFormat="1" applyFont="1" applyAlignment="1">
      <alignment horizontal="right"/>
    </xf>
    <xf numFmtId="0" fontId="18" fillId="0" borderId="0" xfId="0" applyFont="1" applyBorder="1" applyAlignment="1">
      <alignment horizontal="right"/>
    </xf>
    <xf numFmtId="9" fontId="22" fillId="0" borderId="0" xfId="55" applyFont="1" applyFill="1" applyBorder="1" applyAlignment="1">
      <alignment horizontal="right"/>
    </xf>
    <xf numFmtId="0" fontId="24" fillId="23" borderId="15" xfId="0" applyFont="1" applyFill="1" applyBorder="1" applyAlignment="1">
      <alignment horizontal="right" vertical="center" wrapText="1"/>
    </xf>
    <xf numFmtId="0" fontId="24" fillId="23" borderId="15" xfId="0" applyFont="1" applyFill="1" applyBorder="1" applyAlignment="1">
      <alignment horizontal="right" wrapText="1"/>
    </xf>
    <xf numFmtId="0" fontId="24" fillId="22" borderId="15" xfId="0" applyFont="1" applyFill="1" applyBorder="1" applyAlignment="1">
      <alignment horizontal="right" vertical="center" wrapText="1"/>
    </xf>
    <xf numFmtId="4" fontId="18" fillId="0" borderId="15" xfId="0" applyNumberFormat="1" applyFont="1" applyFill="1" applyBorder="1" applyAlignment="1">
      <alignment horizontal="right" vertical="center" wrapText="1"/>
    </xf>
    <xf numFmtId="4" fontId="24" fillId="0" borderId="15" xfId="0" applyNumberFormat="1" applyFont="1" applyFill="1" applyBorder="1" applyAlignment="1">
      <alignment horizontal="right"/>
    </xf>
    <xf numFmtId="4" fontId="19"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4" fontId="24" fillId="0" borderId="0" xfId="0" applyNumberFormat="1" applyFont="1" applyFill="1" applyBorder="1" applyAlignment="1">
      <alignment horizontal="right" vertical="center" wrapText="1"/>
    </xf>
    <xf numFmtId="2" fontId="24" fillId="0" borderId="0" xfId="0" applyNumberFormat="1" applyFont="1" applyFill="1" applyBorder="1" applyAlignment="1">
      <alignment horizontal="right"/>
    </xf>
    <xf numFmtId="4" fontId="18" fillId="0" borderId="0" xfId="0" applyNumberFormat="1" applyFont="1" applyBorder="1" applyAlignment="1">
      <alignment horizontal="right"/>
    </xf>
    <xf numFmtId="4"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0" fontId="24" fillId="27" borderId="15" xfId="0" applyFont="1" applyFill="1" applyBorder="1" applyAlignment="1">
      <alignment vertical="center" wrapText="1"/>
    </xf>
    <xf numFmtId="3" fontId="22" fillId="27" borderId="15" xfId="0" applyNumberFormat="1" applyFont="1" applyFill="1" applyBorder="1" applyAlignment="1" applyProtection="1">
      <alignment horizontal="right" vertical="center" wrapText="1"/>
      <protection locked="0"/>
    </xf>
    <xf numFmtId="3" fontId="22" fillId="26" borderId="15" xfId="53" applyNumberFormat="1" applyFont="1" applyFill="1" applyBorder="1" applyAlignment="1" applyProtection="1">
      <alignment horizontal="right" vertical="center" wrapText="1"/>
      <protection locked="0"/>
    </xf>
    <xf numFmtId="0" fontId="24" fillId="26" borderId="15" xfId="0" applyFont="1" applyFill="1" applyBorder="1" applyAlignment="1">
      <alignment horizontal="right"/>
    </xf>
    <xf numFmtId="4" fontId="24" fillId="26" borderId="15" xfId="0" applyNumberFormat="1" applyFont="1" applyFill="1" applyBorder="1" applyAlignment="1">
      <alignment horizontal="right"/>
    </xf>
    <xf numFmtId="0" fontId="18" fillId="28" borderId="15" xfId="0" applyFont="1" applyFill="1" applyBorder="1" applyAlignment="1">
      <alignment horizontal="right"/>
    </xf>
    <xf numFmtId="2" fontId="24" fillId="27" borderId="15" xfId="0" applyNumberFormat="1" applyFont="1" applyFill="1" applyBorder="1" applyAlignment="1">
      <alignment horizontal="right"/>
    </xf>
    <xf numFmtId="4" fontId="24" fillId="27" borderId="15" xfId="0" applyNumberFormat="1" applyFont="1" applyFill="1" applyBorder="1" applyAlignment="1">
      <alignment horizontal="right"/>
    </xf>
    <xf numFmtId="0" fontId="24" fillId="29" borderId="15" xfId="0" applyFont="1" applyFill="1" applyBorder="1" applyAlignment="1">
      <alignment horizontal="right"/>
    </xf>
    <xf numFmtId="0" fontId="24" fillId="26" borderId="15" xfId="0" applyFont="1" applyFill="1" applyBorder="1" applyAlignment="1">
      <alignment horizontal="right" wrapText="1"/>
    </xf>
    <xf numFmtId="0" fontId="24" fillId="26" borderId="15" xfId="0" applyFont="1" applyFill="1" applyBorder="1" applyAlignment="1">
      <alignment wrapText="1"/>
    </xf>
    <xf numFmtId="10" fontId="22" fillId="30" borderId="15" xfId="55" applyNumberFormat="1" applyFont="1" applyFill="1" applyBorder="1" applyAlignment="1" applyProtection="1">
      <alignment horizontal="right" vertical="center" wrapText="1"/>
      <protection locked="0"/>
    </xf>
    <xf numFmtId="0" fontId="19" fillId="31" borderId="15" xfId="0" applyFont="1" applyFill="1" applyBorder="1" applyAlignment="1">
      <alignment horizontal="right"/>
    </xf>
    <xf numFmtId="0" fontId="24" fillId="32" borderId="15" xfId="0" applyFont="1" applyFill="1" applyBorder="1" applyAlignment="1">
      <alignment horizontal="right"/>
    </xf>
    <xf numFmtId="0" fontId="19" fillId="0" borderId="15" xfId="0" applyFont="1" applyFill="1" applyBorder="1" applyAlignment="1">
      <alignment horizontal="right"/>
    </xf>
    <xf numFmtId="0" fontId="24" fillId="29" borderId="15" xfId="0" applyFont="1" applyFill="1" applyBorder="1" applyAlignment="1">
      <alignment horizontal="right" vertical="center" wrapText="1"/>
    </xf>
    <xf numFmtId="0" fontId="24" fillId="29" borderId="15" xfId="0" applyFont="1" applyFill="1" applyBorder="1" applyAlignment="1">
      <alignment vertical="center" wrapText="1"/>
    </xf>
    <xf numFmtId="0" fontId="24" fillId="29" borderId="15" xfId="0" applyFont="1" applyFill="1" applyBorder="1" applyAlignment="1">
      <alignment horizontal="right" wrapText="1"/>
    </xf>
    <xf numFmtId="0" fontId="18" fillId="27" borderId="15" xfId="0" applyFont="1" applyFill="1" applyBorder="1" applyAlignment="1">
      <alignment vertical="center" wrapText="1"/>
    </xf>
    <xf numFmtId="0" fontId="18" fillId="27" borderId="15" xfId="0" applyFont="1" applyFill="1" applyBorder="1" applyAlignment="1">
      <alignment horizontal="right" vertical="center" wrapText="1"/>
    </xf>
    <xf numFmtId="1" fontId="18" fillId="27" borderId="15" xfId="0" applyNumberFormat="1" applyFont="1" applyFill="1" applyBorder="1" applyAlignment="1">
      <alignment horizontal="center" vertical="center" wrapText="1"/>
    </xf>
    <xf numFmtId="3" fontId="22" fillId="26" borderId="19" xfId="53" applyNumberFormat="1" applyFont="1" applyFill="1" applyBorder="1" applyAlignment="1" applyProtection="1">
      <alignment horizontal="right" vertical="center" wrapText="1"/>
      <protection locked="0"/>
    </xf>
    <xf numFmtId="0" fontId="24" fillId="26" borderId="15" xfId="0" applyFont="1" applyFill="1" applyBorder="1" applyAlignment="1">
      <alignment horizontal="right" vertical="center" wrapText="1"/>
    </xf>
    <xf numFmtId="3" fontId="24" fillId="26" borderId="15" xfId="0" applyNumberFormat="1" applyFont="1" applyFill="1" applyBorder="1" applyAlignment="1">
      <alignment horizontal="right" vertical="center" wrapText="1"/>
    </xf>
    <xf numFmtId="0" fontId="24" fillId="26" borderId="15" xfId="0" applyFont="1" applyFill="1" applyBorder="1" applyAlignment="1">
      <alignment horizontal="right" vertical="center" textRotation="90"/>
    </xf>
    <xf numFmtId="9" fontId="22" fillId="33" borderId="15" xfId="55" applyFont="1" applyFill="1" applyBorder="1" applyAlignment="1" applyProtection="1">
      <alignment horizontal="right" vertical="center" wrapText="1"/>
      <protection locked="0"/>
    </xf>
    <xf numFmtId="0" fontId="24" fillId="26" borderId="15" xfId="0" applyFont="1" applyFill="1" applyBorder="1" applyAlignment="1">
      <alignment vertical="center" textRotation="90"/>
    </xf>
    <xf numFmtId="10" fontId="22" fillId="34" borderId="15" xfId="55" applyNumberFormat="1" applyFont="1" applyFill="1" applyBorder="1" applyAlignment="1">
      <alignment horizontal="right"/>
    </xf>
    <xf numFmtId="2" fontId="24" fillId="0" borderId="15" xfId="0" applyNumberFormat="1" applyFont="1" applyFill="1" applyBorder="1" applyAlignment="1">
      <alignment horizontal="right" vertical="center"/>
    </xf>
    <xf numFmtId="4" fontId="18" fillId="0" borderId="15" xfId="0" applyNumberFormat="1" applyFont="1" applyBorder="1" applyAlignment="1">
      <alignment horizontal="right"/>
    </xf>
    <xf numFmtId="4" fontId="27" fillId="0" borderId="15" xfId="0" applyNumberFormat="1" applyFont="1" applyFill="1" applyBorder="1" applyAlignment="1">
      <alignment horizontal="right" vertical="center" wrapText="1"/>
    </xf>
    <xf numFmtId="2" fontId="24" fillId="0" borderId="15" xfId="0" applyNumberFormat="1" applyFont="1" applyFill="1" applyBorder="1" applyAlignment="1">
      <alignment horizontal="right"/>
    </xf>
    <xf numFmtId="0" fontId="24" fillId="0" borderId="15" xfId="0" applyFont="1" applyFill="1" applyBorder="1" applyAlignment="1">
      <alignment horizontal="right"/>
    </xf>
    <xf numFmtId="0" fontId="18" fillId="27" borderId="0" xfId="0" applyFont="1" applyFill="1" applyAlignment="1">
      <alignment/>
    </xf>
    <xf numFmtId="49" fontId="18" fillId="24" borderId="0" xfId="0" applyNumberFormat="1" applyFont="1" applyFill="1" applyBorder="1" applyAlignment="1">
      <alignment horizontal="right" vertical="center"/>
    </xf>
    <xf numFmtId="49" fontId="24" fillId="6" borderId="0" xfId="0" applyNumberFormat="1" applyFont="1" applyFill="1" applyBorder="1" applyAlignment="1">
      <alignment horizontal="right" vertical="center"/>
    </xf>
    <xf numFmtId="49" fontId="19" fillId="6" borderId="0" xfId="0" applyNumberFormat="1" applyFont="1" applyFill="1" applyBorder="1" applyAlignment="1">
      <alignment horizontal="right" vertical="center"/>
    </xf>
    <xf numFmtId="49" fontId="18" fillId="6" borderId="13" xfId="0" applyNumberFormat="1" applyFont="1" applyFill="1" applyBorder="1" applyAlignment="1">
      <alignment horizontal="right" vertical="center"/>
    </xf>
    <xf numFmtId="49" fontId="18" fillId="24" borderId="0" xfId="0" applyNumberFormat="1" applyFont="1" applyFill="1" applyAlignment="1">
      <alignment horizontal="right" vertical="center"/>
    </xf>
    <xf numFmtId="49" fontId="18" fillId="0" borderId="15" xfId="0" applyNumberFormat="1" applyFont="1" applyBorder="1" applyAlignment="1">
      <alignment horizontal="right" vertical="center"/>
    </xf>
    <xf numFmtId="49" fontId="18" fillId="0" borderId="15" xfId="0" applyNumberFormat="1" applyFont="1" applyFill="1" applyBorder="1" applyAlignment="1">
      <alignment horizontal="right" vertical="center" wrapText="1"/>
    </xf>
    <xf numFmtId="49" fontId="24" fillId="26" borderId="15" xfId="0" applyNumberFormat="1" applyFont="1" applyFill="1" applyBorder="1" applyAlignment="1">
      <alignment horizontal="right" vertical="center" wrapText="1"/>
    </xf>
    <xf numFmtId="49" fontId="18" fillId="0" borderId="0" xfId="0" applyNumberFormat="1" applyFont="1" applyAlignment="1">
      <alignment horizontal="right" vertical="center"/>
    </xf>
    <xf numFmtId="49" fontId="19" fillId="0" borderId="0" xfId="0" applyNumberFormat="1" applyFont="1" applyFill="1" applyBorder="1" applyAlignment="1">
      <alignment horizontal="right" vertical="center" wrapText="1"/>
    </xf>
    <xf numFmtId="49" fontId="18" fillId="0" borderId="0" xfId="0" applyNumberFormat="1" applyFont="1" applyFill="1" applyBorder="1" applyAlignment="1">
      <alignment horizontal="right" vertical="center"/>
    </xf>
    <xf numFmtId="43" fontId="22" fillId="0" borderId="0" xfId="47" applyNumberFormat="1" applyFont="1" applyAlignment="1">
      <alignment/>
    </xf>
    <xf numFmtId="43" fontId="22" fillId="0" borderId="0" xfId="47" applyNumberFormat="1" applyFont="1" applyFill="1" applyBorder="1" applyAlignment="1">
      <alignment/>
    </xf>
    <xf numFmtId="3" fontId="22" fillId="26" borderId="15" xfId="53" applyNumberFormat="1" applyFont="1" applyFill="1" applyBorder="1" applyAlignment="1" applyProtection="1">
      <alignment vertical="center" wrapText="1"/>
      <protection locked="0"/>
    </xf>
    <xf numFmtId="10" fontId="22" fillId="33" borderId="15" xfId="55" applyNumberFormat="1" applyFont="1" applyFill="1" applyBorder="1" applyAlignment="1">
      <alignment vertical="center"/>
    </xf>
    <xf numFmtId="10" fontId="22" fillId="33" borderId="15" xfId="55" applyNumberFormat="1" applyFont="1" applyFill="1" applyBorder="1" applyAlignment="1">
      <alignment vertical="center" wrapText="1"/>
    </xf>
    <xf numFmtId="43" fontId="22" fillId="0" borderId="0" xfId="47" applyFont="1" applyAlignment="1">
      <alignment horizontal="right"/>
    </xf>
    <xf numFmtId="43" fontId="22" fillId="0" borderId="0" xfId="47" applyFont="1" applyFill="1" applyBorder="1" applyAlignment="1">
      <alignment horizontal="right"/>
    </xf>
    <xf numFmtId="43" fontId="22" fillId="0" borderId="15" xfId="47" applyFont="1" applyFill="1" applyBorder="1" applyAlignment="1">
      <alignment horizontal="right"/>
    </xf>
    <xf numFmtId="10" fontId="1" fillId="29" borderId="15" xfId="55" applyNumberFormat="1" applyFont="1" applyFill="1" applyBorder="1" applyAlignment="1">
      <alignment horizontal="right"/>
    </xf>
    <xf numFmtId="0" fontId="18" fillId="35" borderId="0" xfId="0" applyFont="1" applyFill="1" applyAlignment="1">
      <alignment/>
    </xf>
    <xf numFmtId="0" fontId="24" fillId="26" borderId="15" xfId="0" applyFont="1" applyFill="1" applyBorder="1" applyAlignment="1">
      <alignment horizontal="center" vertical="center"/>
    </xf>
    <xf numFmtId="0" fontId="24" fillId="26" borderId="15" xfId="0" applyFont="1" applyFill="1" applyBorder="1" applyAlignment="1">
      <alignment horizontal="center" vertical="center" textRotation="90"/>
    </xf>
    <xf numFmtId="0" fontId="18" fillId="0" borderId="0" xfId="0" applyFont="1" applyAlignment="1">
      <alignment horizontal="center" vertical="center"/>
    </xf>
    <xf numFmtId="43" fontId="18" fillId="0" borderId="0" xfId="0" applyNumberFormat="1" applyFont="1" applyAlignment="1">
      <alignment horizontal="right"/>
    </xf>
    <xf numFmtId="4" fontId="22" fillId="26" borderId="15" xfId="53" applyNumberFormat="1" applyFont="1" applyFill="1" applyBorder="1" applyAlignment="1" applyProtection="1">
      <alignment horizontal="center" vertical="center" wrapText="1"/>
      <protection locked="0"/>
    </xf>
    <xf numFmtId="4" fontId="18" fillId="0" borderId="15" xfId="0" applyNumberFormat="1" applyFont="1" applyFill="1" applyBorder="1" applyAlignment="1">
      <alignment horizontal="center" vertical="center" wrapText="1"/>
    </xf>
    <xf numFmtId="0" fontId="24" fillId="22" borderId="15" xfId="0" applyFont="1" applyFill="1" applyBorder="1" applyAlignment="1">
      <alignment horizontal="center" vertical="center" wrapText="1"/>
    </xf>
    <xf numFmtId="0" fontId="24" fillId="0" borderId="0" xfId="0" applyFont="1" applyFill="1" applyBorder="1" applyAlignment="1">
      <alignment horizontal="center" vertical="center"/>
    </xf>
    <xf numFmtId="0" fontId="18" fillId="35" borderId="0" xfId="0" applyFont="1" applyFill="1" applyAlignment="1">
      <alignment horizontal="center" vertical="center"/>
    </xf>
    <xf numFmtId="10" fontId="1" fillId="29" borderId="15" xfId="55" applyNumberFormat="1" applyFont="1" applyFill="1" applyBorder="1" applyAlignment="1">
      <alignment horizontal="center" vertical="center"/>
    </xf>
    <xf numFmtId="0" fontId="22" fillId="0" borderId="15" xfId="0" applyFont="1" applyBorder="1" applyAlignment="1">
      <alignment horizontal="center" vertical="center"/>
    </xf>
    <xf numFmtId="0" fontId="22" fillId="36" borderId="15" xfId="0" applyFont="1" applyFill="1" applyBorder="1" applyAlignment="1">
      <alignment horizontal="center" vertical="center"/>
    </xf>
    <xf numFmtId="49" fontId="25" fillId="24" borderId="0" xfId="0" applyNumberFormat="1" applyFont="1" applyFill="1" applyBorder="1" applyAlignment="1">
      <alignment vertical="center"/>
    </xf>
    <xf numFmtId="49" fontId="18" fillId="24" borderId="0" xfId="0" applyNumberFormat="1" applyFont="1" applyFill="1" applyAlignment="1">
      <alignment vertical="center"/>
    </xf>
    <xf numFmtId="49" fontId="24" fillId="26" borderId="15" xfId="0" applyNumberFormat="1" applyFont="1" applyFill="1" applyBorder="1" applyAlignment="1">
      <alignment vertical="center" wrapText="1"/>
    </xf>
    <xf numFmtId="49" fontId="24" fillId="0" borderId="0"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49" fontId="18" fillId="0" borderId="0" xfId="0" applyNumberFormat="1" applyFont="1" applyAlignment="1">
      <alignment vertical="center"/>
    </xf>
    <xf numFmtId="0" fontId="18" fillId="35" borderId="0" xfId="0" applyFont="1" applyFill="1" applyBorder="1" applyAlignment="1">
      <alignment/>
    </xf>
    <xf numFmtId="43" fontId="22" fillId="0" borderId="20" xfId="47" applyNumberFormat="1" applyFont="1" applyFill="1" applyBorder="1" applyAlignment="1">
      <alignment/>
    </xf>
    <xf numFmtId="43" fontId="23" fillId="0" borderId="20" xfId="47" applyNumberFormat="1" applyFont="1" applyFill="1" applyBorder="1" applyAlignment="1">
      <alignment/>
    </xf>
    <xf numFmtId="49" fontId="18" fillId="22" borderId="15" xfId="0" applyNumberFormat="1" applyFont="1" applyFill="1" applyBorder="1" applyAlignment="1">
      <alignment vertical="center"/>
    </xf>
    <xf numFmtId="49" fontId="18" fillId="22" borderId="15" xfId="0" applyNumberFormat="1" applyFont="1" applyFill="1" applyBorder="1" applyAlignment="1">
      <alignment horizontal="right" vertical="center"/>
    </xf>
    <xf numFmtId="0" fontId="18" fillId="22" borderId="15" xfId="0" applyFont="1" applyFill="1" applyBorder="1" applyAlignment="1">
      <alignment horizontal="center"/>
    </xf>
    <xf numFmtId="0" fontId="18" fillId="22" borderId="15" xfId="0" applyFont="1" applyFill="1" applyBorder="1" applyAlignment="1">
      <alignment horizontal="right"/>
    </xf>
    <xf numFmtId="0" fontId="18" fillId="22" borderId="15" xfId="0" applyFont="1" applyFill="1" applyBorder="1" applyAlignment="1">
      <alignment/>
    </xf>
    <xf numFmtId="43" fontId="22" fillId="22" borderId="15" xfId="47" applyNumberFormat="1" applyFont="1" applyFill="1" applyBorder="1" applyAlignment="1">
      <alignment horizontal="center"/>
    </xf>
    <xf numFmtId="0" fontId="18" fillId="37" borderId="15" xfId="0" applyFont="1" applyFill="1" applyBorder="1" applyAlignment="1">
      <alignment horizontal="right"/>
    </xf>
    <xf numFmtId="4" fontId="18" fillId="22" borderId="15" xfId="0" applyNumberFormat="1" applyFont="1" applyFill="1" applyBorder="1" applyAlignment="1">
      <alignment horizontal="right"/>
    </xf>
    <xf numFmtId="43" fontId="22" fillId="22" borderId="15" xfId="47" applyFont="1" applyFill="1" applyBorder="1" applyAlignment="1">
      <alignment horizontal="right"/>
    </xf>
    <xf numFmtId="49" fontId="19" fillId="8" borderId="15" xfId="0" applyNumberFormat="1" applyFont="1" applyFill="1" applyBorder="1" applyAlignment="1">
      <alignment vertical="center"/>
    </xf>
    <xf numFmtId="49" fontId="19" fillId="8" borderId="15" xfId="0" applyNumberFormat="1" applyFont="1" applyFill="1" applyBorder="1" applyAlignment="1">
      <alignment horizontal="right" vertical="center"/>
    </xf>
    <xf numFmtId="0" fontId="19" fillId="38" borderId="15" xfId="0" applyFont="1" applyFill="1" applyBorder="1" applyAlignment="1">
      <alignment/>
    </xf>
    <xf numFmtId="0" fontId="19" fillId="11" borderId="15" xfId="0" applyFont="1" applyFill="1" applyBorder="1" applyAlignment="1">
      <alignment/>
    </xf>
    <xf numFmtId="43" fontId="22" fillId="10" borderId="15" xfId="47" applyNumberFormat="1" applyFont="1" applyFill="1" applyBorder="1" applyAlignment="1">
      <alignment horizontal="right"/>
    </xf>
    <xf numFmtId="0" fontId="19" fillId="10" borderId="15" xfId="0" applyFont="1" applyFill="1" applyBorder="1" applyAlignment="1">
      <alignment horizontal="right"/>
    </xf>
    <xf numFmtId="0" fontId="19" fillId="10" borderId="15" xfId="0" applyFont="1" applyFill="1" applyBorder="1" applyAlignment="1">
      <alignment/>
    </xf>
    <xf numFmtId="4" fontId="19" fillId="11" borderId="15" xfId="0" applyNumberFormat="1" applyFont="1" applyFill="1" applyBorder="1" applyAlignment="1">
      <alignment horizontal="right"/>
    </xf>
    <xf numFmtId="0" fontId="19" fillId="39" borderId="15" xfId="0" applyFont="1" applyFill="1" applyBorder="1" applyAlignment="1">
      <alignment vertical="center" wrapText="1"/>
    </xf>
    <xf numFmtId="0" fontId="19" fillId="40" borderId="15" xfId="0" applyFont="1" applyFill="1" applyBorder="1" applyAlignment="1">
      <alignment horizontal="right" vertical="center"/>
    </xf>
    <xf numFmtId="9" fontId="22" fillId="40" borderId="15" xfId="55" applyFont="1" applyFill="1" applyBorder="1" applyAlignment="1">
      <alignment horizontal="right" vertical="center"/>
    </xf>
    <xf numFmtId="0" fontId="19" fillId="40" borderId="15" xfId="0" applyFont="1" applyFill="1" applyBorder="1" applyAlignment="1">
      <alignment vertical="center"/>
    </xf>
    <xf numFmtId="0" fontId="19" fillId="41" borderId="15" xfId="0" applyFont="1" applyFill="1" applyBorder="1" applyAlignment="1">
      <alignment horizontal="right" vertical="center" wrapText="1"/>
    </xf>
    <xf numFmtId="4" fontId="19" fillId="39" borderId="15" xfId="0" applyNumberFormat="1" applyFont="1" applyFill="1" applyBorder="1" applyAlignment="1">
      <alignment horizontal="right" vertical="center" wrapText="1"/>
    </xf>
    <xf numFmtId="0" fontId="19" fillId="40" borderId="15" xfId="0" applyFont="1" applyFill="1" applyBorder="1" applyAlignment="1">
      <alignment horizontal="center" vertical="center"/>
    </xf>
    <xf numFmtId="0" fontId="19" fillId="39" borderId="15" xfId="0" applyFont="1" applyFill="1" applyBorder="1" applyAlignment="1">
      <alignment horizontal="center" vertical="top" textRotation="90" wrapText="1"/>
    </xf>
    <xf numFmtId="10" fontId="22" fillId="33" borderId="15" xfId="55" applyNumberFormat="1" applyFont="1" applyFill="1" applyBorder="1" applyAlignment="1" applyProtection="1">
      <alignment horizontal="right" vertical="center" wrapText="1"/>
      <protection locked="0"/>
    </xf>
    <xf numFmtId="0" fontId="19" fillId="41" borderId="15" xfId="0" applyFont="1" applyFill="1" applyBorder="1" applyAlignment="1">
      <alignment horizontal="right" vertical="center"/>
    </xf>
    <xf numFmtId="9" fontId="22" fillId="30" borderId="15" xfId="55" applyFont="1" applyFill="1" applyBorder="1" applyAlignment="1" applyProtection="1">
      <alignment horizontal="center" vertical="center" wrapText="1"/>
      <protection locked="0"/>
    </xf>
    <xf numFmtId="0" fontId="19" fillId="42" borderId="15" xfId="0" applyFont="1" applyFill="1" applyBorder="1" applyAlignment="1">
      <alignment/>
    </xf>
    <xf numFmtId="0" fontId="19" fillId="42" borderId="15" xfId="0" applyFont="1" applyFill="1" applyBorder="1" applyAlignment="1">
      <alignment horizontal="right"/>
    </xf>
    <xf numFmtId="43" fontId="22" fillId="42" borderId="15" xfId="47" applyNumberFormat="1" applyFont="1" applyFill="1" applyBorder="1" applyAlignment="1">
      <alignment/>
    </xf>
    <xf numFmtId="0" fontId="19" fillId="43" borderId="15" xfId="0" applyFont="1" applyFill="1" applyBorder="1" applyAlignment="1">
      <alignment horizontal="right"/>
    </xf>
    <xf numFmtId="0" fontId="19" fillId="33" borderId="15" xfId="0" applyFont="1" applyFill="1" applyBorder="1" applyAlignment="1">
      <alignment horizontal="right"/>
    </xf>
    <xf numFmtId="0" fontId="19" fillId="30" borderId="15" xfId="0" applyFont="1" applyFill="1" applyBorder="1" applyAlignment="1">
      <alignment horizontal="right"/>
    </xf>
    <xf numFmtId="43" fontId="22" fillId="42" borderId="15" xfId="47" applyFont="1" applyFill="1" applyBorder="1" applyAlignment="1">
      <alignment horizontal="right"/>
    </xf>
    <xf numFmtId="49" fontId="24" fillId="23" borderId="15" xfId="0" applyNumberFormat="1" applyFont="1" applyFill="1" applyBorder="1" applyAlignment="1">
      <alignment vertical="center" wrapText="1"/>
    </xf>
    <xf numFmtId="49" fontId="24" fillId="23" borderId="15" xfId="0" applyNumberFormat="1" applyFont="1" applyFill="1" applyBorder="1" applyAlignment="1">
      <alignment horizontal="right" vertical="center" wrapText="1"/>
    </xf>
    <xf numFmtId="49" fontId="24" fillId="22" borderId="15" xfId="0" applyNumberFormat="1" applyFont="1" applyFill="1" applyBorder="1" applyAlignment="1">
      <alignment horizontal="right" vertical="center" wrapText="1"/>
    </xf>
    <xf numFmtId="0" fontId="18" fillId="26" borderId="15" xfId="0" applyFont="1" applyFill="1" applyBorder="1" applyAlignment="1">
      <alignment horizontal="center" vertical="center" wrapText="1"/>
    </xf>
    <xf numFmtId="0" fontId="24" fillId="29" borderId="15" xfId="0" applyFont="1" applyFill="1" applyBorder="1" applyAlignment="1">
      <alignment/>
    </xf>
    <xf numFmtId="43" fontId="22" fillId="26" borderId="15" xfId="47" applyNumberFormat="1" applyFont="1" applyFill="1" applyBorder="1" applyAlignment="1">
      <alignment/>
    </xf>
    <xf numFmtId="0" fontId="24" fillId="27" borderId="15" xfId="0" applyFont="1" applyFill="1" applyBorder="1" applyAlignment="1">
      <alignment horizontal="right"/>
    </xf>
    <xf numFmtId="9" fontId="22" fillId="33" borderId="15" xfId="55" applyFont="1" applyFill="1" applyBorder="1" applyAlignment="1">
      <alignment horizontal="right"/>
    </xf>
    <xf numFmtId="0" fontId="24" fillId="0" borderId="15" xfId="0" applyFont="1" applyBorder="1" applyAlignment="1">
      <alignment horizontal="right" wrapText="1"/>
    </xf>
    <xf numFmtId="4" fontId="24" fillId="29" borderId="15" xfId="0" applyNumberFormat="1" applyFont="1" applyFill="1" applyBorder="1" applyAlignment="1">
      <alignment horizontal="right"/>
    </xf>
    <xf numFmtId="3" fontId="22" fillId="30" borderId="15" xfId="53" applyNumberFormat="1" applyFont="1" applyFill="1" applyBorder="1" applyAlignment="1" applyProtection="1">
      <alignment horizontal="right" vertical="center" wrapText="1"/>
      <protection locked="0"/>
    </xf>
    <xf numFmtId="43" fontId="22" fillId="44" borderId="15" xfId="47" applyFont="1" applyFill="1" applyBorder="1" applyAlignment="1">
      <alignment horizontal="right"/>
    </xf>
    <xf numFmtId="9" fontId="22" fillId="29" borderId="15" xfId="55" applyFont="1" applyFill="1" applyBorder="1" applyAlignment="1">
      <alignment horizontal="right"/>
    </xf>
    <xf numFmtId="0" fontId="24" fillId="0" borderId="15" xfId="0" applyFont="1" applyBorder="1" applyAlignment="1">
      <alignment wrapText="1"/>
    </xf>
    <xf numFmtId="49" fontId="24" fillId="0" borderId="15" xfId="0" applyNumberFormat="1" applyFont="1" applyFill="1" applyBorder="1" applyAlignment="1">
      <alignment vertical="center" wrapText="1"/>
    </xf>
    <xf numFmtId="49" fontId="24" fillId="0" borderId="15" xfId="0" applyNumberFormat="1" applyFont="1" applyFill="1" applyBorder="1" applyAlignment="1">
      <alignment horizontal="right" vertical="center" wrapText="1"/>
    </xf>
    <xf numFmtId="0" fontId="24" fillId="0" borderId="15" xfId="0" applyFont="1" applyFill="1" applyBorder="1" applyAlignment="1">
      <alignment/>
    </xf>
    <xf numFmtId="9" fontId="22" fillId="0" borderId="15" xfId="55" applyFont="1" applyFill="1" applyBorder="1" applyAlignment="1">
      <alignment horizontal="right"/>
    </xf>
    <xf numFmtId="4" fontId="22" fillId="45" borderId="15" xfId="53" applyNumberFormat="1" applyFont="1" applyFill="1" applyBorder="1" applyAlignment="1" applyProtection="1">
      <alignment horizontal="right" vertical="center" wrapText="1"/>
      <protection locked="0"/>
    </xf>
    <xf numFmtId="2" fontId="22" fillId="45" borderId="15" xfId="53" applyNumberFormat="1" applyFont="1" applyFill="1" applyBorder="1" applyAlignment="1" applyProtection="1">
      <alignment horizontal="right" vertical="center" wrapText="1"/>
      <protection locked="0"/>
    </xf>
    <xf numFmtId="4" fontId="23" fillId="45" borderId="15" xfId="53" applyNumberFormat="1" applyFont="1" applyFill="1" applyBorder="1" applyAlignment="1" applyProtection="1">
      <alignment horizontal="right" vertical="center" wrapText="1"/>
      <protection locked="0"/>
    </xf>
    <xf numFmtId="49" fontId="24" fillId="22" borderId="15" xfId="0" applyNumberFormat="1" applyFont="1" applyFill="1" applyBorder="1" applyAlignment="1">
      <alignment vertical="center"/>
    </xf>
    <xf numFmtId="49" fontId="24" fillId="22" borderId="15" xfId="0" applyNumberFormat="1" applyFont="1" applyFill="1" applyBorder="1" applyAlignment="1">
      <alignment horizontal="right" vertical="center"/>
    </xf>
    <xf numFmtId="0" fontId="24" fillId="22" borderId="15" xfId="0" applyFont="1" applyFill="1" applyBorder="1" applyAlignment="1">
      <alignment horizontal="center"/>
    </xf>
    <xf numFmtId="0" fontId="24" fillId="22" borderId="15" xfId="0" applyFont="1" applyFill="1" applyBorder="1" applyAlignment="1">
      <alignment horizontal="right"/>
    </xf>
    <xf numFmtId="0" fontId="24" fillId="22" borderId="15" xfId="0" applyFont="1" applyFill="1" applyBorder="1" applyAlignment="1">
      <alignment/>
    </xf>
    <xf numFmtId="4" fontId="24" fillId="22" borderId="15" xfId="0" applyNumberFormat="1" applyFont="1" applyFill="1" applyBorder="1" applyAlignment="1">
      <alignment horizontal="right"/>
    </xf>
    <xf numFmtId="43" fontId="22" fillId="10" borderId="15" xfId="47" applyFont="1" applyFill="1" applyBorder="1" applyAlignment="1">
      <alignment horizontal="right"/>
    </xf>
    <xf numFmtId="0" fontId="18" fillId="46" borderId="15" xfId="0" applyFont="1" applyFill="1" applyBorder="1" applyAlignment="1">
      <alignment horizontal="right"/>
    </xf>
    <xf numFmtId="0" fontId="19" fillId="47" borderId="15" xfId="0" applyFont="1" applyFill="1" applyBorder="1" applyAlignment="1">
      <alignment horizontal="right" vertical="center" wrapText="1"/>
    </xf>
    <xf numFmtId="43" fontId="22" fillId="48" borderId="15" xfId="47" applyFont="1" applyFill="1" applyBorder="1" applyAlignment="1">
      <alignment horizontal="right" vertical="center" wrapText="1"/>
    </xf>
    <xf numFmtId="0" fontId="19" fillId="41" borderId="15" xfId="0" applyFont="1" applyFill="1" applyBorder="1" applyAlignment="1">
      <alignment horizontal="center" vertical="center"/>
    </xf>
    <xf numFmtId="0" fontId="19" fillId="49" borderId="15" xfId="0" applyFont="1" applyFill="1" applyBorder="1" applyAlignment="1">
      <alignment/>
    </xf>
    <xf numFmtId="0" fontId="19" fillId="49" borderId="15" xfId="0" applyFont="1" applyFill="1" applyBorder="1" applyAlignment="1">
      <alignment horizontal="right"/>
    </xf>
    <xf numFmtId="43" fontId="22" fillId="49" borderId="15" xfId="47" applyNumberFormat="1" applyFont="1" applyFill="1" applyBorder="1" applyAlignment="1">
      <alignment/>
    </xf>
    <xf numFmtId="0" fontId="18" fillId="50" borderId="15" xfId="0" applyFont="1" applyFill="1" applyBorder="1" applyAlignment="1">
      <alignment horizontal="right"/>
    </xf>
    <xf numFmtId="43" fontId="22" fillId="49" borderId="15" xfId="47" applyFont="1" applyFill="1" applyBorder="1" applyAlignment="1">
      <alignment horizontal="right"/>
    </xf>
    <xf numFmtId="0" fontId="18" fillId="26" borderId="15" xfId="0" applyFont="1" applyFill="1" applyBorder="1" applyAlignment="1">
      <alignment horizontal="right" vertical="center"/>
    </xf>
    <xf numFmtId="0" fontId="18" fillId="29" borderId="15" xfId="0" applyFont="1" applyFill="1" applyBorder="1" applyAlignment="1">
      <alignment vertical="center"/>
    </xf>
    <xf numFmtId="43" fontId="22" fillId="29" borderId="15" xfId="47" applyNumberFormat="1" applyFont="1" applyFill="1" applyBorder="1" applyAlignment="1">
      <alignment vertical="center" wrapText="1"/>
    </xf>
    <xf numFmtId="0" fontId="24" fillId="51" borderId="15" xfId="0" applyFont="1" applyFill="1" applyBorder="1" applyAlignment="1">
      <alignment horizontal="right" vertical="center" wrapText="1"/>
    </xf>
    <xf numFmtId="10" fontId="22" fillId="33" borderId="15" xfId="55" applyNumberFormat="1" applyFont="1" applyFill="1" applyBorder="1" applyAlignment="1">
      <alignment horizontal="right"/>
    </xf>
    <xf numFmtId="4" fontId="18" fillId="29" borderId="15" xfId="0" applyNumberFormat="1" applyFont="1" applyFill="1" applyBorder="1" applyAlignment="1">
      <alignment horizontal="right" vertical="center"/>
    </xf>
    <xf numFmtId="9" fontId="22" fillId="23" borderId="15" xfId="55" applyFont="1" applyFill="1" applyBorder="1" applyAlignment="1">
      <alignment horizontal="right"/>
    </xf>
    <xf numFmtId="0" fontId="18" fillId="26" borderId="15" xfId="0" applyFont="1" applyFill="1" applyBorder="1" applyAlignment="1">
      <alignment vertical="center" wrapText="1"/>
    </xf>
    <xf numFmtId="4" fontId="18" fillId="29" borderId="15" xfId="0" applyNumberFormat="1" applyFont="1" applyFill="1" applyBorder="1" applyAlignment="1">
      <alignment horizontal="right"/>
    </xf>
    <xf numFmtId="0" fontId="18" fillId="29" borderId="15" xfId="0" applyFont="1" applyFill="1" applyBorder="1" applyAlignment="1">
      <alignment horizontal="right" vertical="center"/>
    </xf>
    <xf numFmtId="0" fontId="18" fillId="26" borderId="15" xfId="0" applyFont="1" applyFill="1" applyBorder="1" applyAlignment="1">
      <alignment horizontal="right"/>
    </xf>
    <xf numFmtId="0" fontId="18" fillId="29" borderId="15" xfId="0" applyFont="1" applyFill="1" applyBorder="1" applyAlignment="1">
      <alignment/>
    </xf>
    <xf numFmtId="4" fontId="24" fillId="29" borderId="15" xfId="0" applyNumberFormat="1" applyFont="1" applyFill="1" applyBorder="1" applyAlignment="1">
      <alignment vertical="center" wrapText="1"/>
    </xf>
    <xf numFmtId="43" fontId="23" fillId="0" borderId="15" xfId="47" applyNumberFormat="1" applyFont="1" applyFill="1" applyBorder="1" applyAlignment="1">
      <alignment/>
    </xf>
    <xf numFmtId="43" fontId="23" fillId="45" borderId="15" xfId="47" applyFont="1" applyFill="1" applyBorder="1" applyAlignment="1" applyProtection="1">
      <alignment horizontal="right" vertical="center" wrapText="1"/>
      <protection locked="0"/>
    </xf>
    <xf numFmtId="4" fontId="22" fillId="52" borderId="15" xfId="53" applyNumberFormat="1" applyFont="1" applyFill="1" applyBorder="1" applyAlignment="1" applyProtection="1">
      <alignment horizontal="right" vertical="center" wrapText="1"/>
      <protection locked="0"/>
    </xf>
    <xf numFmtId="2" fontId="22" fillId="52" borderId="15" xfId="53" applyNumberFormat="1" applyFont="1" applyFill="1" applyBorder="1" applyAlignment="1" applyProtection="1">
      <alignment horizontal="right" vertical="center" wrapText="1"/>
      <protection locked="0"/>
    </xf>
    <xf numFmtId="43" fontId="22" fillId="52" borderId="15" xfId="47" applyFont="1" applyFill="1" applyBorder="1" applyAlignment="1" applyProtection="1">
      <alignment horizontal="right" vertical="center" wrapText="1"/>
      <protection locked="0"/>
    </xf>
    <xf numFmtId="3" fontId="22" fillId="52" borderId="15" xfId="53" applyNumberFormat="1" applyFont="1" applyFill="1" applyBorder="1" applyAlignment="1" applyProtection="1">
      <alignment horizontal="right" vertical="center" wrapText="1"/>
      <protection locked="0"/>
    </xf>
    <xf numFmtId="49" fontId="19" fillId="53" borderId="15" xfId="0" applyNumberFormat="1" applyFont="1" applyFill="1" applyBorder="1" applyAlignment="1">
      <alignment vertical="center"/>
    </xf>
    <xf numFmtId="49" fontId="19" fillId="53" borderId="15" xfId="0" applyNumberFormat="1" applyFont="1" applyFill="1" applyBorder="1" applyAlignment="1">
      <alignment horizontal="right" vertical="center"/>
    </xf>
    <xf numFmtId="0" fontId="19" fillId="53" borderId="15" xfId="0" applyFont="1" applyFill="1" applyBorder="1" applyAlignment="1">
      <alignment horizontal="left"/>
    </xf>
    <xf numFmtId="0" fontId="19" fillId="53" borderId="15" xfId="0" applyFont="1" applyFill="1" applyBorder="1" applyAlignment="1">
      <alignment horizontal="right"/>
    </xf>
    <xf numFmtId="0" fontId="18" fillId="54" borderId="15" xfId="0" applyFont="1" applyFill="1" applyBorder="1" applyAlignment="1">
      <alignment/>
    </xf>
    <xf numFmtId="43" fontId="22" fillId="53" borderId="15" xfId="47" applyNumberFormat="1" applyFont="1" applyFill="1" applyBorder="1" applyAlignment="1">
      <alignment horizontal="left"/>
    </xf>
    <xf numFmtId="0" fontId="18" fillId="55" borderId="15" xfId="0" applyFont="1" applyFill="1" applyBorder="1" applyAlignment="1">
      <alignment horizontal="right"/>
    </xf>
    <xf numFmtId="4" fontId="19" fillId="53" borderId="15" xfId="0" applyNumberFormat="1" applyFont="1" applyFill="1" applyBorder="1" applyAlignment="1">
      <alignment horizontal="right"/>
    </xf>
    <xf numFmtId="2" fontId="19" fillId="53" borderId="15" xfId="0" applyNumberFormat="1" applyFont="1" applyFill="1" applyBorder="1" applyAlignment="1">
      <alignment horizontal="right"/>
    </xf>
    <xf numFmtId="43" fontId="22" fillId="53" borderId="15" xfId="47" applyFont="1" applyFill="1" applyBorder="1" applyAlignment="1">
      <alignment horizontal="right"/>
    </xf>
    <xf numFmtId="0" fontId="27" fillId="27" borderId="15" xfId="0" applyFont="1" applyFill="1" applyBorder="1" applyAlignment="1">
      <alignment vertical="center" wrapText="1"/>
    </xf>
    <xf numFmtId="3" fontId="27" fillId="27" borderId="15" xfId="0" applyNumberFormat="1" applyFont="1" applyFill="1" applyBorder="1" applyAlignment="1" applyProtection="1">
      <alignment horizontal="right" vertical="center" wrapText="1"/>
      <protection locked="0"/>
    </xf>
    <xf numFmtId="0" fontId="27" fillId="27" borderId="15" xfId="0" applyFont="1" applyFill="1" applyBorder="1" applyAlignment="1">
      <alignment horizontal="left" vertical="center" wrapText="1"/>
    </xf>
    <xf numFmtId="3" fontId="27" fillId="27" borderId="15" xfId="53" applyNumberFormat="1" applyFont="1" applyFill="1" applyBorder="1" applyAlignment="1" applyProtection="1">
      <alignment horizontal="center" vertical="center" wrapText="1"/>
      <protection locked="0"/>
    </xf>
    <xf numFmtId="1" fontId="18" fillId="27" borderId="15" xfId="0" applyNumberFormat="1" applyFont="1" applyFill="1" applyBorder="1" applyAlignment="1">
      <alignment horizontal="right" vertical="center" wrapText="1"/>
    </xf>
    <xf numFmtId="0" fontId="18" fillId="27" borderId="15" xfId="0" applyFont="1" applyFill="1" applyBorder="1" applyAlignment="1">
      <alignment horizontal="left" vertical="center" wrapText="1"/>
    </xf>
    <xf numFmtId="10" fontId="22" fillId="33" borderId="15" xfId="55" applyNumberFormat="1" applyFont="1" applyFill="1" applyBorder="1" applyAlignment="1">
      <alignment horizontal="center" vertical="center"/>
    </xf>
    <xf numFmtId="0" fontId="18" fillId="37" borderId="15" xfId="0" applyFont="1" applyFill="1" applyBorder="1" applyAlignment="1">
      <alignment horizontal="center" vertical="center"/>
    </xf>
    <xf numFmtId="2" fontId="24" fillId="0" borderId="15" xfId="0" applyNumberFormat="1" applyFont="1" applyFill="1" applyBorder="1" applyAlignment="1">
      <alignment horizontal="center" vertical="center"/>
    </xf>
    <xf numFmtId="4" fontId="24" fillId="0" borderId="15" xfId="0" applyNumberFormat="1" applyFont="1" applyFill="1" applyBorder="1" applyAlignment="1">
      <alignment horizontal="center" vertical="center"/>
    </xf>
    <xf numFmtId="10" fontId="22" fillId="30" borderId="15" xfId="55" applyNumberFormat="1" applyFont="1" applyFill="1" applyBorder="1" applyAlignment="1">
      <alignment horizontal="center" vertical="center"/>
    </xf>
    <xf numFmtId="10" fontId="22" fillId="32" borderId="15" xfId="55" applyNumberFormat="1" applyFont="1" applyFill="1" applyBorder="1" applyAlignment="1">
      <alignment horizontal="center" vertical="center"/>
    </xf>
    <xf numFmtId="0" fontId="24" fillId="0" borderId="15" xfId="0" applyFont="1" applyFill="1" applyBorder="1" applyAlignment="1">
      <alignment horizontal="center" vertical="center"/>
    </xf>
    <xf numFmtId="9" fontId="22" fillId="0" borderId="15" xfId="55" applyFont="1" applyFill="1" applyBorder="1" applyAlignment="1">
      <alignment horizontal="center" vertical="center"/>
    </xf>
    <xf numFmtId="0" fontId="18" fillId="56" borderId="15" xfId="0" applyFont="1" applyFill="1" applyBorder="1" applyAlignment="1">
      <alignment horizontal="center" vertical="center"/>
    </xf>
    <xf numFmtId="4" fontId="22" fillId="45" borderId="15" xfId="53" applyNumberFormat="1" applyFont="1" applyFill="1" applyBorder="1" applyAlignment="1" applyProtection="1">
      <alignment horizontal="center" vertical="center" wrapText="1"/>
      <protection locked="0"/>
    </xf>
    <xf numFmtId="2" fontId="22" fillId="45" borderId="15" xfId="53" applyNumberFormat="1" applyFont="1" applyFill="1" applyBorder="1" applyAlignment="1" applyProtection="1">
      <alignment horizontal="center" vertical="center" wrapText="1"/>
      <protection locked="0"/>
    </xf>
    <xf numFmtId="3" fontId="22" fillId="30" borderId="15" xfId="53" applyNumberFormat="1" applyFont="1" applyFill="1" applyBorder="1" applyAlignment="1" applyProtection="1">
      <alignment horizontal="center" vertical="center" wrapText="1"/>
      <protection locked="0"/>
    </xf>
    <xf numFmtId="3" fontId="22" fillId="57" borderId="15" xfId="53" applyNumberFormat="1" applyFont="1" applyFill="1" applyBorder="1" applyAlignment="1" applyProtection="1">
      <alignment horizontal="center" vertical="center" wrapText="1"/>
      <protection locked="0"/>
    </xf>
    <xf numFmtId="43" fontId="23" fillId="45" borderId="15" xfId="47" applyFont="1" applyFill="1" applyBorder="1" applyAlignment="1" applyProtection="1">
      <alignment horizontal="center" vertical="center" wrapText="1"/>
      <protection locked="0"/>
    </xf>
    <xf numFmtId="0" fontId="24" fillId="45" borderId="15" xfId="0" applyFont="1" applyFill="1" applyBorder="1" applyAlignment="1">
      <alignment horizontal="center" vertical="center" wrapText="1"/>
    </xf>
    <xf numFmtId="49" fontId="19" fillId="8" borderId="15" xfId="0" applyNumberFormat="1" applyFont="1" applyFill="1" applyBorder="1" applyAlignment="1">
      <alignment horizontal="center" vertical="center"/>
    </xf>
    <xf numFmtId="0" fontId="19" fillId="38" borderId="15" xfId="0" applyFont="1" applyFill="1" applyBorder="1" applyAlignment="1">
      <alignment horizontal="center" vertical="center"/>
    </xf>
    <xf numFmtId="0" fontId="19" fillId="11" borderId="15" xfId="0" applyFont="1" applyFill="1" applyBorder="1" applyAlignment="1">
      <alignment horizontal="center" vertical="center"/>
    </xf>
    <xf numFmtId="43" fontId="22" fillId="10" borderId="15" xfId="47" applyNumberFormat="1" applyFont="1" applyFill="1" applyBorder="1" applyAlignment="1">
      <alignment horizontal="center" vertical="center"/>
    </xf>
    <xf numFmtId="0" fontId="19" fillId="10" borderId="15" xfId="0" applyFont="1" applyFill="1" applyBorder="1" applyAlignment="1">
      <alignment horizontal="center" vertical="center"/>
    </xf>
    <xf numFmtId="4" fontId="19" fillId="11" borderId="15" xfId="0" applyNumberFormat="1" applyFont="1" applyFill="1" applyBorder="1" applyAlignment="1">
      <alignment horizontal="center" vertical="center"/>
    </xf>
    <xf numFmtId="43" fontId="22" fillId="10" borderId="15" xfId="47" applyFont="1" applyFill="1" applyBorder="1" applyAlignment="1">
      <alignment horizontal="center" vertical="center"/>
    </xf>
    <xf numFmtId="0" fontId="18" fillId="46" borderId="15" xfId="0" applyFont="1" applyFill="1" applyBorder="1" applyAlignment="1">
      <alignment horizontal="center" vertical="center"/>
    </xf>
    <xf numFmtId="0" fontId="19" fillId="39" borderId="15" xfId="0" applyFont="1" applyFill="1" applyBorder="1" applyAlignment="1">
      <alignment horizontal="center" vertical="center" textRotation="90" wrapText="1"/>
    </xf>
    <xf numFmtId="10" fontId="22" fillId="30" borderId="15" xfId="55" applyNumberFormat="1" applyFont="1" applyFill="1" applyBorder="1" applyAlignment="1" applyProtection="1">
      <alignment horizontal="center" vertical="center" wrapText="1"/>
      <protection locked="0"/>
    </xf>
    <xf numFmtId="49" fontId="19" fillId="58" borderId="15" xfId="0" applyNumberFormat="1" applyFont="1" applyFill="1" applyBorder="1" applyAlignment="1">
      <alignment vertical="center"/>
    </xf>
    <xf numFmtId="49" fontId="19" fillId="58" borderId="15" xfId="0" applyNumberFormat="1" applyFont="1" applyFill="1" applyBorder="1" applyAlignment="1">
      <alignment horizontal="center" vertical="center"/>
    </xf>
    <xf numFmtId="0" fontId="19" fillId="58" borderId="15" xfId="0" applyFont="1" applyFill="1" applyBorder="1" applyAlignment="1">
      <alignment horizontal="center" vertical="center"/>
    </xf>
    <xf numFmtId="43" fontId="22" fillId="58" borderId="15" xfId="47" applyNumberFormat="1" applyFont="1" applyFill="1" applyBorder="1" applyAlignment="1">
      <alignment horizontal="center" vertical="center"/>
    </xf>
    <xf numFmtId="9" fontId="22" fillId="43" borderId="15" xfId="55" applyFont="1" applyFill="1" applyBorder="1" applyAlignment="1">
      <alignment horizontal="center" vertical="center"/>
    </xf>
    <xf numFmtId="0" fontId="19" fillId="43" borderId="15" xfId="0" applyFont="1" applyFill="1" applyBorder="1" applyAlignment="1">
      <alignment horizontal="center" vertical="center"/>
    </xf>
    <xf numFmtId="0" fontId="19" fillId="33" borderId="15" xfId="0" applyFont="1" applyFill="1" applyBorder="1" applyAlignment="1">
      <alignment horizontal="center" vertical="center"/>
    </xf>
    <xf numFmtId="0" fontId="18" fillId="59" borderId="15" xfId="0" applyFont="1" applyFill="1" applyBorder="1" applyAlignment="1">
      <alignment horizontal="center" vertical="center"/>
    </xf>
    <xf numFmtId="0" fontId="19" fillId="31" borderId="15" xfId="0" applyFont="1" applyFill="1" applyBorder="1" applyAlignment="1">
      <alignment horizontal="center" vertical="center"/>
    </xf>
    <xf numFmtId="0" fontId="19" fillId="30" borderId="15" xfId="0" applyFont="1" applyFill="1" applyBorder="1" applyAlignment="1">
      <alignment horizontal="center" vertical="center"/>
    </xf>
    <xf numFmtId="43" fontId="22" fillId="58" borderId="15" xfId="47" applyFont="1" applyFill="1" applyBorder="1" applyAlignment="1">
      <alignment horizontal="center" vertical="center"/>
    </xf>
    <xf numFmtId="49" fontId="24" fillId="23" borderId="15" xfId="0" applyNumberFormat="1" applyFont="1" applyFill="1" applyBorder="1" applyAlignment="1">
      <alignment horizontal="center" vertical="center" wrapText="1"/>
    </xf>
    <xf numFmtId="3" fontId="22" fillId="0" borderId="15" xfId="0" applyNumberFormat="1" applyFont="1" applyFill="1" applyBorder="1" applyAlignment="1" applyProtection="1">
      <alignment horizontal="center" vertical="center" wrapText="1"/>
      <protection locked="0"/>
    </xf>
    <xf numFmtId="3" fontId="22" fillId="0" borderId="15" xfId="53" applyNumberFormat="1" applyFont="1" applyFill="1" applyBorder="1" applyAlignment="1" applyProtection="1">
      <alignment horizontal="center" vertical="center" wrapText="1"/>
      <protection locked="0"/>
    </xf>
    <xf numFmtId="3" fontId="18" fillId="0" borderId="15" xfId="0" applyNumberFormat="1" applyFont="1" applyFill="1" applyBorder="1" applyAlignment="1">
      <alignment horizontal="center" vertical="center" wrapText="1"/>
    </xf>
    <xf numFmtId="10" fontId="22" fillId="34" borderId="15" xfId="55" applyNumberFormat="1" applyFont="1" applyFill="1" applyBorder="1" applyAlignment="1">
      <alignment horizontal="center" vertical="center"/>
    </xf>
    <xf numFmtId="0" fontId="18" fillId="0" borderId="15" xfId="0" applyFont="1" applyFill="1" applyBorder="1" applyAlignment="1">
      <alignment horizontal="right" vertical="center"/>
    </xf>
    <xf numFmtId="4" fontId="24" fillId="0" borderId="15" xfId="0" applyNumberFormat="1" applyFont="1" applyFill="1" applyBorder="1" applyAlignment="1">
      <alignment horizontal="right" vertical="center"/>
    </xf>
    <xf numFmtId="4" fontId="24" fillId="27" borderId="15" xfId="0" applyNumberFormat="1" applyFont="1" applyFill="1" applyBorder="1" applyAlignment="1">
      <alignment horizontal="right" vertical="center"/>
    </xf>
    <xf numFmtId="4" fontId="24" fillId="34" borderId="15" xfId="0" applyNumberFormat="1" applyFont="1" applyFill="1" applyBorder="1" applyAlignment="1">
      <alignment horizontal="right"/>
    </xf>
    <xf numFmtId="0" fontId="18" fillId="27" borderId="15" xfId="0" applyFont="1" applyFill="1" applyBorder="1" applyAlignment="1">
      <alignment horizontal="right" vertical="center"/>
    </xf>
    <xf numFmtId="1" fontId="18" fillId="0" borderId="15" xfId="0" applyNumberFormat="1" applyFont="1" applyFill="1" applyBorder="1" applyAlignment="1">
      <alignment horizontal="right" vertical="center"/>
    </xf>
    <xf numFmtId="0" fontId="18" fillId="0" borderId="15" xfId="0" applyFont="1" applyBorder="1" applyAlignment="1">
      <alignment horizontal="right"/>
    </xf>
    <xf numFmtId="2" fontId="23" fillId="45" borderId="15" xfId="53" applyNumberFormat="1" applyFont="1" applyFill="1" applyBorder="1" applyAlignment="1" applyProtection="1">
      <alignment horizontal="right" vertical="center" wrapText="1"/>
      <protection locked="0"/>
    </xf>
    <xf numFmtId="4" fontId="19" fillId="11" borderId="15" xfId="0" applyNumberFormat="1" applyFont="1" applyFill="1" applyBorder="1" applyAlignment="1">
      <alignment horizontal="center"/>
    </xf>
    <xf numFmtId="0" fontId="19" fillId="39" borderId="15" xfId="0" applyFont="1" applyFill="1" applyBorder="1" applyAlignment="1">
      <alignment horizontal="left" vertical="center" textRotation="90" wrapText="1"/>
    </xf>
    <xf numFmtId="0" fontId="19" fillId="39" borderId="15" xfId="0" applyFont="1" applyFill="1" applyBorder="1" applyAlignment="1">
      <alignment horizontal="left" vertical="center" wrapText="1"/>
    </xf>
    <xf numFmtId="43" fontId="22" fillId="40" borderId="15" xfId="47" applyNumberFormat="1" applyFont="1" applyFill="1" applyBorder="1" applyAlignment="1">
      <alignment vertical="center" wrapText="1"/>
    </xf>
    <xf numFmtId="9" fontId="22" fillId="60" borderId="15" xfId="55" applyFont="1" applyFill="1" applyBorder="1" applyAlignment="1" applyProtection="1">
      <alignment horizontal="right" vertical="center" wrapText="1"/>
      <protection locked="0"/>
    </xf>
    <xf numFmtId="10" fontId="22" fillId="60" borderId="15" xfId="55" applyNumberFormat="1" applyFont="1" applyFill="1" applyBorder="1" applyAlignment="1" applyProtection="1">
      <alignment horizontal="right" vertical="center" wrapText="1"/>
      <protection locked="0"/>
    </xf>
    <xf numFmtId="9" fontId="22" fillId="61" borderId="15" xfId="55" applyFont="1" applyFill="1" applyBorder="1" applyAlignment="1" applyProtection="1">
      <alignment horizontal="center" vertical="center" wrapText="1"/>
      <protection locked="0"/>
    </xf>
    <xf numFmtId="10" fontId="22" fillId="61" borderId="15" xfId="55" applyNumberFormat="1" applyFont="1" applyFill="1" applyBorder="1" applyAlignment="1" applyProtection="1">
      <alignment horizontal="right" vertical="center" wrapText="1"/>
      <protection locked="0"/>
    </xf>
    <xf numFmtId="49" fontId="19" fillId="62" borderId="15" xfId="0" applyNumberFormat="1" applyFont="1" applyFill="1" applyBorder="1" applyAlignment="1">
      <alignment vertical="center"/>
    </xf>
    <xf numFmtId="49" fontId="19" fillId="62" borderId="15" xfId="0" applyNumberFormat="1" applyFont="1" applyFill="1" applyBorder="1" applyAlignment="1">
      <alignment horizontal="right" vertical="center"/>
    </xf>
    <xf numFmtId="0" fontId="19" fillId="62" borderId="15" xfId="0" applyFont="1" applyFill="1" applyBorder="1" applyAlignment="1">
      <alignment horizontal="left"/>
    </xf>
    <xf numFmtId="0" fontId="19" fillId="62" borderId="15" xfId="0" applyFont="1" applyFill="1" applyBorder="1" applyAlignment="1">
      <alignment horizontal="right"/>
    </xf>
    <xf numFmtId="43" fontId="22" fillId="62" borderId="15" xfId="47" applyNumberFormat="1" applyFont="1" applyFill="1" applyBorder="1" applyAlignment="1">
      <alignment horizontal="left"/>
    </xf>
    <xf numFmtId="9" fontId="22" fillId="62" borderId="15" xfId="55" applyFont="1" applyFill="1" applyBorder="1" applyAlignment="1">
      <alignment horizontal="right"/>
    </xf>
    <xf numFmtId="0" fontId="18" fillId="63" borderId="15" xfId="0" applyFont="1" applyFill="1" applyBorder="1" applyAlignment="1">
      <alignment horizontal="right"/>
    </xf>
    <xf numFmtId="4" fontId="19" fillId="62" borderId="15" xfId="0" applyNumberFormat="1" applyFont="1" applyFill="1" applyBorder="1" applyAlignment="1">
      <alignment horizontal="right"/>
    </xf>
    <xf numFmtId="2" fontId="19" fillId="62" borderId="15" xfId="0" applyNumberFormat="1" applyFont="1" applyFill="1" applyBorder="1" applyAlignment="1">
      <alignment horizontal="right"/>
    </xf>
    <xf numFmtId="10" fontId="22" fillId="34" borderId="15" xfId="55" applyNumberFormat="1" applyFont="1" applyFill="1" applyBorder="1" applyAlignment="1">
      <alignment horizontal="right" vertical="center" wrapText="1"/>
    </xf>
    <xf numFmtId="4" fontId="19" fillId="0" borderId="15" xfId="0" applyNumberFormat="1" applyFont="1" applyFill="1" applyBorder="1" applyAlignment="1">
      <alignment horizontal="right"/>
    </xf>
    <xf numFmtId="4" fontId="19" fillId="64" borderId="15" xfId="0" applyNumberFormat="1" applyFont="1" applyFill="1" applyBorder="1" applyAlignment="1">
      <alignment horizontal="right"/>
    </xf>
    <xf numFmtId="0" fontId="24" fillId="64" borderId="15" xfId="0" applyFont="1" applyFill="1" applyBorder="1" applyAlignment="1">
      <alignment horizontal="right"/>
    </xf>
    <xf numFmtId="43" fontId="23" fillId="65" borderId="15" xfId="47" applyFont="1" applyFill="1" applyBorder="1" applyAlignment="1">
      <alignment horizontal="right"/>
    </xf>
    <xf numFmtId="0" fontId="19" fillId="40" borderId="15" xfId="0" applyFont="1" applyFill="1" applyBorder="1" applyAlignment="1">
      <alignment horizontal="right" vertical="center" wrapText="1"/>
    </xf>
    <xf numFmtId="49" fontId="19" fillId="66" borderId="15" xfId="0" applyNumberFormat="1" applyFont="1" applyFill="1" applyBorder="1" applyAlignment="1">
      <alignment vertical="center"/>
    </xf>
    <xf numFmtId="49" fontId="19" fillId="66" borderId="15" xfId="0" applyNumberFormat="1" applyFont="1" applyFill="1" applyBorder="1" applyAlignment="1">
      <alignment horizontal="right" vertical="center"/>
    </xf>
    <xf numFmtId="0" fontId="19" fillId="66" borderId="15" xfId="0" applyFont="1" applyFill="1" applyBorder="1" applyAlignment="1">
      <alignment horizontal="left"/>
    </xf>
    <xf numFmtId="0" fontId="19" fillId="66" borderId="15" xfId="0" applyFont="1" applyFill="1" applyBorder="1" applyAlignment="1">
      <alignment horizontal="right"/>
    </xf>
    <xf numFmtId="43" fontId="22" fillId="66" borderId="15" xfId="47" applyNumberFormat="1" applyFont="1" applyFill="1" applyBorder="1" applyAlignment="1">
      <alignment horizontal="left"/>
    </xf>
    <xf numFmtId="9" fontId="22" fillId="43" borderId="15" xfId="55" applyFont="1" applyFill="1" applyBorder="1" applyAlignment="1">
      <alignment horizontal="right"/>
    </xf>
    <xf numFmtId="4" fontId="19" fillId="66" borderId="15" xfId="0" applyNumberFormat="1" applyFont="1" applyFill="1" applyBorder="1" applyAlignment="1">
      <alignment horizontal="right"/>
    </xf>
    <xf numFmtId="2" fontId="19" fillId="66" borderId="15" xfId="0" applyNumberFormat="1" applyFont="1" applyFill="1" applyBorder="1" applyAlignment="1">
      <alignment horizontal="right"/>
    </xf>
    <xf numFmtId="43" fontId="22" fillId="66" borderId="15" xfId="47" applyFont="1" applyFill="1" applyBorder="1" applyAlignment="1">
      <alignment horizontal="right"/>
    </xf>
    <xf numFmtId="49" fontId="24" fillId="22" borderId="15" xfId="0" applyNumberFormat="1" applyFont="1" applyFill="1" applyBorder="1" applyAlignment="1">
      <alignment vertical="center" wrapText="1"/>
    </xf>
    <xf numFmtId="0" fontId="24" fillId="29" borderId="15" xfId="0" applyFont="1" applyFill="1" applyBorder="1" applyAlignment="1">
      <alignment horizontal="right" vertical="center"/>
    </xf>
    <xf numFmtId="0" fontId="24" fillId="67" borderId="15" xfId="0" applyFont="1" applyFill="1" applyBorder="1" applyAlignment="1">
      <alignment horizontal="right"/>
    </xf>
    <xf numFmtId="43" fontId="23" fillId="64" borderId="15" xfId="47" applyFont="1" applyFill="1" applyBorder="1" applyAlignment="1">
      <alignment horizontal="right"/>
    </xf>
    <xf numFmtId="10" fontId="22" fillId="68" borderId="15" xfId="55" applyNumberFormat="1" applyFont="1" applyFill="1" applyBorder="1" applyAlignment="1" applyProtection="1">
      <alignment horizontal="right" vertical="center" wrapText="1"/>
      <protection locked="0"/>
    </xf>
    <xf numFmtId="9" fontId="22" fillId="66" borderId="15" xfId="55" applyFont="1" applyFill="1" applyBorder="1" applyAlignment="1">
      <alignment horizontal="right"/>
    </xf>
    <xf numFmtId="0" fontId="19" fillId="68" borderId="15" xfId="0" applyFont="1" applyFill="1" applyBorder="1" applyAlignment="1">
      <alignment horizontal="right"/>
    </xf>
    <xf numFmtId="0" fontId="24" fillId="0" borderId="15" xfId="0" applyFont="1" applyFill="1" applyBorder="1" applyAlignment="1">
      <alignment horizontal="right" vertical="center" wrapText="1"/>
    </xf>
    <xf numFmtId="0" fontId="19" fillId="0" borderId="15" xfId="0" applyFont="1" applyFill="1" applyBorder="1" applyAlignment="1">
      <alignment horizontal="left"/>
    </xf>
    <xf numFmtId="4" fontId="24" fillId="0" borderId="15" xfId="0" applyNumberFormat="1" applyFont="1" applyBorder="1" applyAlignment="1">
      <alignment horizontal="right"/>
    </xf>
    <xf numFmtId="4" fontId="24" fillId="0" borderId="15" xfId="0" applyNumberFormat="1" applyFont="1" applyBorder="1" applyAlignment="1">
      <alignment/>
    </xf>
    <xf numFmtId="49" fontId="24" fillId="0" borderId="15" xfId="0" applyNumberFormat="1" applyFont="1" applyBorder="1" applyAlignment="1">
      <alignment vertical="center"/>
    </xf>
    <xf numFmtId="49" fontId="24" fillId="0" borderId="15" xfId="0" applyNumberFormat="1" applyFont="1" applyBorder="1" applyAlignment="1">
      <alignment horizontal="right" vertical="center"/>
    </xf>
    <xf numFmtId="0" fontId="24" fillId="0" borderId="15" xfId="0" applyFont="1" applyBorder="1" applyAlignment="1">
      <alignment/>
    </xf>
    <xf numFmtId="0" fontId="24" fillId="0" borderId="15" xfId="0" applyFont="1" applyBorder="1" applyAlignment="1">
      <alignment horizontal="right"/>
    </xf>
    <xf numFmtId="43" fontId="22" fillId="0" borderId="15" xfId="47" applyNumberFormat="1" applyFont="1" applyBorder="1" applyAlignment="1">
      <alignment/>
    </xf>
    <xf numFmtId="9" fontId="22" fillId="0" borderId="15" xfId="55" applyFont="1" applyBorder="1" applyAlignment="1">
      <alignment horizontal="right"/>
    </xf>
    <xf numFmtId="0" fontId="24" fillId="68" borderId="15" xfId="0" applyFont="1" applyFill="1" applyBorder="1" applyAlignment="1">
      <alignment horizontal="right"/>
    </xf>
    <xf numFmtId="43" fontId="22" fillId="0" borderId="15" xfId="47" applyFont="1" applyBorder="1" applyAlignment="1">
      <alignment horizontal="right"/>
    </xf>
    <xf numFmtId="0" fontId="19" fillId="0" borderId="0" xfId="0" applyFont="1" applyFill="1" applyBorder="1" applyAlignment="1">
      <alignment vertical="center" wrapText="1"/>
    </xf>
    <xf numFmtId="0" fontId="25" fillId="0" borderId="0" xfId="0" applyFont="1"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horizontal="right" wrapText="1"/>
    </xf>
    <xf numFmtId="0" fontId="25" fillId="0" borderId="0" xfId="0" applyFont="1" applyAlignment="1">
      <alignment/>
    </xf>
    <xf numFmtId="0" fontId="19" fillId="0" borderId="0" xfId="0" applyFont="1" applyFill="1" applyBorder="1" applyAlignment="1">
      <alignment/>
    </xf>
    <xf numFmtId="3" fontId="23" fillId="57" borderId="15" xfId="53" applyNumberFormat="1" applyFont="1" applyFill="1" applyBorder="1" applyAlignment="1" applyProtection="1">
      <alignment horizontal="center" vertical="center" wrapText="1"/>
      <protection locked="0"/>
    </xf>
    <xf numFmtId="10" fontId="22" fillId="61" borderId="15" xfId="55" applyNumberFormat="1" applyFont="1" applyFill="1" applyBorder="1" applyAlignment="1" applyProtection="1">
      <alignment horizontal="center" vertical="center" wrapText="1"/>
      <protection locked="0"/>
    </xf>
    <xf numFmtId="0" fontId="18" fillId="22" borderId="15" xfId="0" applyFont="1" applyFill="1" applyBorder="1" applyAlignment="1">
      <alignment horizontal="center" vertical="center"/>
    </xf>
    <xf numFmtId="0" fontId="24" fillId="22" borderId="15" xfId="0" applyFont="1" applyFill="1" applyBorder="1" applyAlignment="1">
      <alignment horizontal="center" vertical="center"/>
    </xf>
    <xf numFmtId="0" fontId="19" fillId="62" borderId="15" xfId="0" applyFont="1" applyFill="1" applyBorder="1" applyAlignment="1">
      <alignment horizontal="center" vertical="center"/>
    </xf>
    <xf numFmtId="10" fontId="22" fillId="69" borderId="15" xfId="55" applyNumberFormat="1" applyFont="1" applyFill="1" applyBorder="1" applyAlignment="1">
      <alignment horizontal="center" vertical="center"/>
    </xf>
    <xf numFmtId="4" fontId="19" fillId="64" borderId="15" xfId="0" applyNumberFormat="1" applyFont="1" applyFill="1" applyBorder="1" applyAlignment="1">
      <alignment horizontal="center" vertical="center"/>
    </xf>
    <xf numFmtId="0" fontId="24" fillId="67" borderId="15" xfId="0" applyFont="1" applyFill="1" applyBorder="1" applyAlignment="1">
      <alignment horizontal="center" vertical="center"/>
    </xf>
    <xf numFmtId="0" fontId="24" fillId="32" borderId="15" xfId="0" applyFont="1" applyFill="1" applyBorder="1" applyAlignment="1">
      <alignment horizontal="center" vertical="center"/>
    </xf>
    <xf numFmtId="4" fontId="24" fillId="32" borderId="15" xfId="0" applyNumberFormat="1" applyFont="1" applyFill="1" applyBorder="1" applyAlignment="1">
      <alignment horizontal="center" vertical="center"/>
    </xf>
    <xf numFmtId="0" fontId="24" fillId="0" borderId="15" xfId="0" applyFont="1" applyBorder="1" applyAlignment="1">
      <alignment horizontal="center" vertical="center"/>
    </xf>
    <xf numFmtId="0" fontId="18" fillId="0" borderId="0" xfId="0" applyFont="1" applyFill="1" applyBorder="1" applyAlignment="1">
      <alignment horizontal="center" vertical="center"/>
    </xf>
    <xf numFmtId="3" fontId="23" fillId="30" borderId="15" xfId="53" applyNumberFormat="1" applyFont="1" applyFill="1" applyBorder="1" applyAlignment="1" applyProtection="1">
      <alignment horizontal="center" vertical="center" wrapText="1"/>
      <protection locked="0"/>
    </xf>
    <xf numFmtId="0" fontId="24" fillId="64" borderId="15" xfId="0" applyFont="1" applyFill="1" applyBorder="1" applyAlignment="1">
      <alignment horizontal="center" vertical="center"/>
    </xf>
    <xf numFmtId="0" fontId="24" fillId="70" borderId="15" xfId="0" applyFont="1" applyFill="1" applyBorder="1" applyAlignment="1">
      <alignment horizontal="center" vertical="center"/>
    </xf>
    <xf numFmtId="0" fontId="24" fillId="30" borderId="15" xfId="0" applyFont="1" applyFill="1" applyBorder="1" applyAlignment="1">
      <alignment horizontal="center" vertical="center"/>
    </xf>
    <xf numFmtId="3" fontId="23" fillId="57" borderId="21" xfId="53" applyNumberFormat="1" applyFont="1" applyFill="1" applyBorder="1" applyAlignment="1" applyProtection="1">
      <alignment horizontal="right" vertical="center" wrapText="1"/>
      <protection locked="0"/>
    </xf>
    <xf numFmtId="3" fontId="23" fillId="52" borderId="22" xfId="53" applyNumberFormat="1" applyFont="1" applyFill="1" applyBorder="1" applyAlignment="1" applyProtection="1">
      <alignment horizontal="right" vertical="center" wrapText="1"/>
      <protection locked="0"/>
    </xf>
    <xf numFmtId="43" fontId="22" fillId="22" borderId="23" xfId="47" applyFont="1" applyFill="1" applyBorder="1" applyAlignment="1">
      <alignment horizontal="right"/>
    </xf>
    <xf numFmtId="43" fontId="23" fillId="52" borderId="20" xfId="47" applyFont="1" applyFill="1" applyBorder="1" applyAlignment="1" applyProtection="1">
      <alignment horizontal="right" vertical="center" wrapText="1"/>
      <protection locked="0"/>
    </xf>
    <xf numFmtId="3" fontId="22" fillId="45" borderId="15" xfId="53" applyNumberFormat="1" applyFont="1" applyFill="1" applyBorder="1" applyAlignment="1" applyProtection="1">
      <alignment horizontal="center" vertical="center" wrapText="1"/>
      <protection locked="0"/>
    </xf>
    <xf numFmtId="10" fontId="23" fillId="32" borderId="15" xfId="55" applyNumberFormat="1" applyFont="1" applyFill="1" applyBorder="1" applyAlignment="1">
      <alignment horizontal="center" vertical="center"/>
    </xf>
    <xf numFmtId="43" fontId="22" fillId="26" borderId="19" xfId="47" applyNumberFormat="1" applyFont="1" applyFill="1" applyBorder="1" applyAlignment="1">
      <alignment/>
    </xf>
    <xf numFmtId="0" fontId="24" fillId="0" borderId="22" xfId="0" applyFont="1" applyFill="1" applyBorder="1" applyAlignment="1">
      <alignment horizontal="right"/>
    </xf>
    <xf numFmtId="43" fontId="22" fillId="0" borderId="23" xfId="47" applyNumberFormat="1" applyFont="1" applyFill="1" applyBorder="1" applyAlignment="1">
      <alignment/>
    </xf>
    <xf numFmtId="0" fontId="24" fillId="0" borderId="22" xfId="0" applyFont="1" applyFill="1" applyBorder="1" applyAlignment="1">
      <alignment horizontal="center" vertical="center"/>
    </xf>
    <xf numFmtId="43" fontId="22" fillId="0" borderId="23" xfId="47" applyNumberFormat="1" applyFont="1" applyFill="1" applyBorder="1" applyAlignment="1">
      <alignment horizontal="center" vertical="center"/>
    </xf>
    <xf numFmtId="43" fontId="22" fillId="29" borderId="19" xfId="47" applyNumberFormat="1" applyFont="1" applyFill="1" applyBorder="1" applyAlignment="1">
      <alignment vertical="center" wrapText="1"/>
    </xf>
    <xf numFmtId="0" fontId="19" fillId="41" borderId="22" xfId="0" applyFont="1" applyFill="1" applyBorder="1" applyAlignment="1">
      <alignment horizontal="center" vertical="center" wrapText="1"/>
    </xf>
    <xf numFmtId="0" fontId="19" fillId="10" borderId="19" xfId="0" applyFont="1" applyFill="1" applyBorder="1" applyAlignment="1">
      <alignment horizontal="right"/>
    </xf>
    <xf numFmtId="0" fontId="19" fillId="10" borderId="19" xfId="0" applyFont="1" applyFill="1" applyBorder="1" applyAlignment="1">
      <alignment/>
    </xf>
    <xf numFmtId="0" fontId="19" fillId="39" borderId="23" xfId="0" applyFont="1" applyFill="1" applyBorder="1" applyAlignment="1">
      <alignment horizontal="center" vertical="top" textRotation="90" wrapText="1"/>
    </xf>
    <xf numFmtId="9" fontId="22" fillId="33" borderId="23" xfId="55" applyFont="1" applyFill="1" applyBorder="1" applyAlignment="1" applyProtection="1">
      <alignment horizontal="right" vertical="center" wrapText="1"/>
      <protection locked="0"/>
    </xf>
    <xf numFmtId="10" fontId="22" fillId="33" borderId="23" xfId="55" applyNumberFormat="1" applyFont="1" applyFill="1" applyBorder="1" applyAlignment="1" applyProtection="1">
      <alignment horizontal="right" vertical="center" wrapText="1"/>
      <protection locked="0"/>
    </xf>
    <xf numFmtId="0" fontId="19" fillId="40" borderId="24" xfId="0" applyFont="1" applyFill="1" applyBorder="1" applyAlignment="1">
      <alignment horizontal="right" vertical="center"/>
    </xf>
    <xf numFmtId="0" fontId="19" fillId="40" borderId="25" xfId="0" applyFont="1" applyFill="1" applyBorder="1" applyAlignment="1">
      <alignment horizontal="right" vertical="center"/>
    </xf>
    <xf numFmtId="9" fontId="22" fillId="40" borderId="25" xfId="55" applyFont="1" applyFill="1" applyBorder="1" applyAlignment="1">
      <alignment horizontal="right" vertical="center"/>
    </xf>
    <xf numFmtId="0" fontId="19" fillId="40" borderId="25" xfId="0" applyFont="1" applyFill="1" applyBorder="1" applyAlignment="1">
      <alignment vertical="center"/>
    </xf>
    <xf numFmtId="0" fontId="19" fillId="40" borderId="26" xfId="0" applyFont="1" applyFill="1" applyBorder="1" applyAlignment="1">
      <alignment horizontal="right" vertical="center"/>
    </xf>
    <xf numFmtId="0" fontId="19" fillId="71" borderId="24" xfId="0" applyFont="1" applyFill="1" applyBorder="1" applyAlignment="1">
      <alignment horizontal="right" vertical="center"/>
    </xf>
    <xf numFmtId="0" fontId="19" fillId="71" borderId="25" xfId="0" applyFont="1" applyFill="1" applyBorder="1" applyAlignment="1">
      <alignment horizontal="right" vertical="center"/>
    </xf>
    <xf numFmtId="9" fontId="22" fillId="71" borderId="25" xfId="55" applyFont="1" applyFill="1" applyBorder="1" applyAlignment="1">
      <alignment horizontal="right" vertical="center"/>
    </xf>
    <xf numFmtId="0" fontId="19" fillId="71" borderId="25" xfId="0" applyFont="1" applyFill="1" applyBorder="1" applyAlignment="1">
      <alignment vertical="center"/>
    </xf>
    <xf numFmtId="0" fontId="19" fillId="71" borderId="26" xfId="0" applyFont="1" applyFill="1" applyBorder="1" applyAlignment="1">
      <alignment horizontal="right" vertical="center"/>
    </xf>
    <xf numFmtId="10" fontId="22" fillId="33" borderId="27" xfId="55" applyNumberFormat="1" applyFont="1" applyFill="1" applyBorder="1" applyAlignment="1" applyProtection="1">
      <alignment vertical="center" wrapText="1"/>
      <protection locked="0"/>
    </xf>
    <xf numFmtId="0" fontId="18" fillId="0" borderId="0" xfId="0" applyFont="1" applyBorder="1" applyAlignment="1">
      <alignment horizontal="center" vertical="center"/>
    </xf>
    <xf numFmtId="2" fontId="24" fillId="0" borderId="0" xfId="0" applyNumberFormat="1" applyFont="1" applyFill="1" applyBorder="1" applyAlignment="1">
      <alignment horizontal="center" vertical="center"/>
    </xf>
    <xf numFmtId="4" fontId="24" fillId="27" borderId="0" xfId="0" applyNumberFormat="1" applyFont="1" applyFill="1" applyBorder="1" applyAlignment="1">
      <alignment horizontal="right"/>
    </xf>
    <xf numFmtId="0" fontId="24" fillId="0" borderId="28" xfId="0" applyFont="1" applyBorder="1" applyAlignment="1">
      <alignment/>
    </xf>
    <xf numFmtId="4" fontId="18" fillId="27" borderId="0" xfId="0" applyNumberFormat="1" applyFont="1" applyFill="1" applyAlignment="1">
      <alignment horizontal="right"/>
    </xf>
    <xf numFmtId="4" fontId="19" fillId="27" borderId="0" xfId="0" applyNumberFormat="1" applyFont="1" applyFill="1" applyBorder="1" applyAlignment="1">
      <alignment horizontal="right"/>
    </xf>
    <xf numFmtId="4" fontId="18" fillId="27" borderId="0" xfId="0" applyNumberFormat="1" applyFont="1" applyFill="1" applyBorder="1" applyAlignment="1">
      <alignment horizontal="right"/>
    </xf>
    <xf numFmtId="4" fontId="18" fillId="72" borderId="15" xfId="0" applyNumberFormat="1" applyFont="1" applyFill="1" applyBorder="1" applyAlignment="1">
      <alignment horizontal="right"/>
    </xf>
    <xf numFmtId="0" fontId="19" fillId="73" borderId="15" xfId="0" applyFont="1" applyFill="1" applyBorder="1" applyAlignment="1">
      <alignment horizontal="right"/>
    </xf>
    <xf numFmtId="0" fontId="19" fillId="74" borderId="15" xfId="0" applyFont="1" applyFill="1" applyBorder="1" applyAlignment="1">
      <alignment horizontal="right"/>
    </xf>
    <xf numFmtId="4" fontId="24" fillId="75" borderId="15" xfId="0" applyNumberFormat="1" applyFont="1" applyFill="1" applyBorder="1" applyAlignment="1">
      <alignment horizontal="right"/>
    </xf>
    <xf numFmtId="4" fontId="22" fillId="76" borderId="15" xfId="53" applyNumberFormat="1" applyFont="1" applyFill="1" applyBorder="1" applyAlignment="1" applyProtection="1">
      <alignment horizontal="right" vertical="center" wrapText="1"/>
      <protection locked="0"/>
    </xf>
    <xf numFmtId="4" fontId="24" fillId="72" borderId="15" xfId="0" applyNumberFormat="1" applyFont="1" applyFill="1" applyBorder="1" applyAlignment="1">
      <alignment horizontal="right"/>
    </xf>
    <xf numFmtId="4" fontId="24" fillId="77" borderId="15" xfId="0" applyNumberFormat="1" applyFont="1" applyFill="1" applyBorder="1" applyAlignment="1">
      <alignment horizontal="right" vertical="center" wrapText="1"/>
    </xf>
    <xf numFmtId="4" fontId="18" fillId="77" borderId="15" xfId="0" applyNumberFormat="1" applyFont="1" applyFill="1" applyBorder="1" applyAlignment="1">
      <alignment horizontal="right"/>
    </xf>
    <xf numFmtId="4" fontId="19" fillId="74" borderId="15" xfId="0" applyNumberFormat="1" applyFont="1" applyFill="1" applyBorder="1" applyAlignment="1">
      <alignment horizontal="right"/>
    </xf>
    <xf numFmtId="4" fontId="22" fillId="72" borderId="15" xfId="53" applyNumberFormat="1" applyFont="1" applyFill="1" applyBorder="1" applyAlignment="1" applyProtection="1">
      <alignment horizontal="right" vertical="center" wrapText="1"/>
      <protection locked="0"/>
    </xf>
    <xf numFmtId="4" fontId="22" fillId="72" borderId="15" xfId="53" applyNumberFormat="1" applyFont="1" applyFill="1" applyBorder="1" applyAlignment="1" applyProtection="1">
      <alignment horizontal="center" vertical="center" wrapText="1"/>
      <protection locked="0"/>
    </xf>
    <xf numFmtId="4" fontId="22" fillId="76" borderId="15" xfId="53" applyNumberFormat="1" applyFont="1" applyFill="1" applyBorder="1" applyAlignment="1" applyProtection="1">
      <alignment horizontal="center" vertical="center" wrapText="1"/>
      <protection locked="0"/>
    </xf>
    <xf numFmtId="0" fontId="19" fillId="73" borderId="15" xfId="0" applyFont="1" applyFill="1" applyBorder="1" applyAlignment="1">
      <alignment horizontal="center" vertical="center"/>
    </xf>
    <xf numFmtId="4" fontId="19" fillId="74" borderId="15" xfId="0" applyNumberFormat="1" applyFont="1" applyFill="1" applyBorder="1" applyAlignment="1">
      <alignment horizontal="center" vertical="center"/>
    </xf>
    <xf numFmtId="4" fontId="24" fillId="72" borderId="15" xfId="0" applyNumberFormat="1" applyFont="1" applyFill="1" applyBorder="1" applyAlignment="1">
      <alignment horizontal="center" vertical="center"/>
    </xf>
    <xf numFmtId="4" fontId="23" fillId="76" borderId="15" xfId="53" applyNumberFormat="1" applyFont="1" applyFill="1" applyBorder="1" applyAlignment="1" applyProtection="1">
      <alignment horizontal="right" vertical="center" wrapText="1"/>
      <protection locked="0"/>
    </xf>
    <xf numFmtId="4" fontId="18" fillId="75" borderId="15" xfId="0" applyNumberFormat="1" applyFont="1" applyFill="1" applyBorder="1" applyAlignment="1">
      <alignment horizontal="right" vertical="center"/>
    </xf>
    <xf numFmtId="4" fontId="19" fillId="75" borderId="15" xfId="0" applyNumberFormat="1" applyFont="1" applyFill="1" applyBorder="1" applyAlignment="1">
      <alignment horizontal="right"/>
    </xf>
    <xf numFmtId="4" fontId="18" fillId="75" borderId="15" xfId="0" applyNumberFormat="1" applyFont="1" applyFill="1" applyBorder="1" applyAlignment="1">
      <alignment horizontal="right" vertical="center" wrapText="1"/>
    </xf>
    <xf numFmtId="4" fontId="24" fillId="75" borderId="0" xfId="0" applyNumberFormat="1" applyFont="1" applyFill="1" applyBorder="1" applyAlignment="1">
      <alignment horizontal="right"/>
    </xf>
    <xf numFmtId="0" fontId="18" fillId="27" borderId="0" xfId="0" applyFont="1" applyFill="1" applyBorder="1" applyAlignment="1">
      <alignment/>
    </xf>
    <xf numFmtId="4" fontId="24" fillId="0" borderId="20" xfId="0" applyNumberFormat="1" applyFont="1" applyFill="1" applyBorder="1" applyAlignment="1">
      <alignment horizontal="right"/>
    </xf>
    <xf numFmtId="4" fontId="24" fillId="27" borderId="20" xfId="0" applyNumberFormat="1" applyFont="1" applyFill="1" applyBorder="1" applyAlignment="1">
      <alignment horizontal="right"/>
    </xf>
    <xf numFmtId="10" fontId="22" fillId="32" borderId="29" xfId="55" applyNumberFormat="1" applyFont="1" applyFill="1" applyBorder="1" applyAlignment="1">
      <alignment horizontal="center" vertical="center"/>
    </xf>
    <xf numFmtId="0" fontId="19" fillId="30" borderId="25" xfId="0" applyFont="1" applyFill="1" applyBorder="1" applyAlignment="1">
      <alignment horizontal="center" vertical="center"/>
    </xf>
    <xf numFmtId="0" fontId="19" fillId="30" borderId="25" xfId="0" applyFont="1" applyFill="1" applyBorder="1" applyAlignment="1">
      <alignment horizontal="right"/>
    </xf>
    <xf numFmtId="0" fontId="19" fillId="0" borderId="30" xfId="0" applyFont="1" applyFill="1" applyBorder="1" applyAlignment="1">
      <alignment horizontal="right"/>
    </xf>
    <xf numFmtId="0" fontId="24" fillId="26" borderId="19" xfId="0" applyFont="1" applyFill="1" applyBorder="1" applyAlignment="1">
      <alignment wrapText="1"/>
    </xf>
    <xf numFmtId="0" fontId="24" fillId="0" borderId="0" xfId="0" applyFont="1" applyFill="1" applyBorder="1" applyAlignment="1">
      <alignment horizontal="center" wrapText="1"/>
    </xf>
    <xf numFmtId="0" fontId="18" fillId="0" borderId="0" xfId="0" applyFont="1" applyBorder="1" applyAlignment="1">
      <alignment horizontal="center"/>
    </xf>
    <xf numFmtId="0" fontId="18" fillId="0" borderId="0" xfId="0" applyFont="1" applyAlignment="1" applyProtection="1">
      <alignment horizontal="right"/>
      <protection/>
    </xf>
    <xf numFmtId="0" fontId="18" fillId="22" borderId="15" xfId="0" applyFont="1" applyFill="1" applyBorder="1" applyAlignment="1" applyProtection="1">
      <alignment horizontal="right"/>
      <protection/>
    </xf>
    <xf numFmtId="0" fontId="19" fillId="10" borderId="19" xfId="0" applyFont="1" applyFill="1" applyBorder="1" applyAlignment="1" applyProtection="1">
      <alignment horizontal="right"/>
      <protection/>
    </xf>
    <xf numFmtId="0" fontId="19" fillId="40" borderId="25" xfId="0" applyFont="1" applyFill="1" applyBorder="1" applyAlignment="1" applyProtection="1">
      <alignment vertical="center"/>
      <protection/>
    </xf>
    <xf numFmtId="0" fontId="19" fillId="39" borderId="23" xfId="0" applyFont="1" applyFill="1" applyBorder="1" applyAlignment="1" applyProtection="1">
      <alignment horizontal="center" vertical="top" textRotation="90" wrapText="1"/>
      <protection/>
    </xf>
    <xf numFmtId="0" fontId="19" fillId="42" borderId="15" xfId="0" applyFont="1" applyFill="1" applyBorder="1" applyAlignment="1" applyProtection="1">
      <alignment horizontal="right"/>
      <protection/>
    </xf>
    <xf numFmtId="0" fontId="24" fillId="27" borderId="15" xfId="0" applyFont="1" applyFill="1" applyBorder="1" applyAlignment="1" applyProtection="1">
      <alignment horizontal="right"/>
      <protection/>
    </xf>
    <xf numFmtId="0" fontId="24" fillId="0" borderId="15" xfId="0" applyFont="1" applyFill="1" applyBorder="1" applyAlignment="1" applyProtection="1">
      <alignment horizontal="right"/>
      <protection/>
    </xf>
    <xf numFmtId="0" fontId="24" fillId="22" borderId="15" xfId="0" applyFont="1" applyFill="1" applyBorder="1" applyAlignment="1" applyProtection="1">
      <alignment horizontal="right"/>
      <protection/>
    </xf>
    <xf numFmtId="43" fontId="22" fillId="10" borderId="15" xfId="47" applyNumberFormat="1" applyFont="1" applyFill="1" applyBorder="1" applyAlignment="1" applyProtection="1">
      <alignment horizontal="right"/>
      <protection/>
    </xf>
    <xf numFmtId="0" fontId="19" fillId="71" borderId="25" xfId="0" applyFont="1" applyFill="1" applyBorder="1" applyAlignment="1" applyProtection="1">
      <alignment vertical="center"/>
      <protection/>
    </xf>
    <xf numFmtId="0" fontId="19" fillId="39" borderId="15" xfId="0" applyFont="1" applyFill="1" applyBorder="1" applyAlignment="1" applyProtection="1">
      <alignment horizontal="center" vertical="top" textRotation="90" wrapText="1"/>
      <protection/>
    </xf>
    <xf numFmtId="0" fontId="19" fillId="49" borderId="15" xfId="0" applyFont="1" applyFill="1" applyBorder="1" applyAlignment="1" applyProtection="1">
      <alignment horizontal="right"/>
      <protection/>
    </xf>
    <xf numFmtId="0" fontId="24" fillId="29" borderId="15" xfId="0" applyFont="1" applyFill="1" applyBorder="1" applyAlignment="1" applyProtection="1">
      <alignment horizontal="right" vertical="center" wrapText="1"/>
      <protection/>
    </xf>
    <xf numFmtId="0" fontId="18" fillId="29" borderId="15" xfId="0" applyFont="1" applyFill="1" applyBorder="1" applyAlignment="1" applyProtection="1">
      <alignment horizontal="right" vertical="center"/>
      <protection/>
    </xf>
    <xf numFmtId="0" fontId="24" fillId="29" borderId="15" xfId="0" applyFont="1" applyFill="1" applyBorder="1" applyAlignment="1" applyProtection="1">
      <alignment horizontal="right" wrapText="1"/>
      <protection/>
    </xf>
    <xf numFmtId="0" fontId="19" fillId="53" borderId="15" xfId="0" applyFont="1" applyFill="1" applyBorder="1" applyAlignment="1" applyProtection="1">
      <alignment horizontal="right"/>
      <protection/>
    </xf>
    <xf numFmtId="3" fontId="22" fillId="26" borderId="15" xfId="53" applyNumberFormat="1" applyFont="1" applyFill="1" applyBorder="1" applyAlignment="1" applyProtection="1">
      <alignment vertical="center" wrapText="1"/>
      <protection/>
    </xf>
    <xf numFmtId="3" fontId="22" fillId="26" borderId="15" xfId="53" applyNumberFormat="1" applyFont="1" applyFill="1" applyBorder="1" applyAlignment="1" applyProtection="1">
      <alignment horizontal="right" vertical="center" wrapText="1"/>
      <protection/>
    </xf>
    <xf numFmtId="0" fontId="24" fillId="0" borderId="15" xfId="0" applyFont="1" applyFill="1" applyBorder="1" applyAlignment="1" applyProtection="1">
      <alignment horizontal="center" vertical="center"/>
      <protection/>
    </xf>
    <xf numFmtId="43" fontId="22" fillId="10" borderId="15" xfId="47" applyNumberFormat="1" applyFont="1" applyFill="1" applyBorder="1" applyAlignment="1" applyProtection="1">
      <alignment horizontal="center" vertical="center"/>
      <protection/>
    </xf>
    <xf numFmtId="0" fontId="19" fillId="39" borderId="15" xfId="0" applyFont="1" applyFill="1" applyBorder="1" applyAlignment="1" applyProtection="1">
      <alignment horizontal="center" vertical="center" textRotation="90" wrapText="1"/>
      <protection/>
    </xf>
    <xf numFmtId="0" fontId="19" fillId="58" borderId="15" xfId="0" applyFont="1" applyFill="1" applyBorder="1" applyAlignment="1" applyProtection="1">
      <alignment horizontal="center" vertical="center"/>
      <protection/>
    </xf>
    <xf numFmtId="0" fontId="24" fillId="26" borderId="15" xfId="0" applyFont="1" applyFill="1" applyBorder="1" applyAlignment="1" applyProtection="1">
      <alignment horizontal="center" vertical="center"/>
      <protection/>
    </xf>
    <xf numFmtId="0" fontId="24" fillId="26" borderId="15" xfId="0" applyFont="1" applyFill="1" applyBorder="1" applyAlignment="1" applyProtection="1">
      <alignment horizontal="right" vertical="center"/>
      <protection/>
    </xf>
    <xf numFmtId="0" fontId="18" fillId="0" borderId="15" xfId="0" applyFont="1" applyFill="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18" fillId="0" borderId="15" xfId="0" applyFont="1" applyBorder="1" applyAlignment="1" applyProtection="1">
      <alignment horizontal="right"/>
      <protection/>
    </xf>
    <xf numFmtId="0" fontId="19" fillId="39" borderId="15" xfId="0" applyFont="1" applyFill="1" applyBorder="1" applyAlignment="1" applyProtection="1">
      <alignment horizontal="left" vertical="center" textRotation="90" wrapText="1"/>
      <protection/>
    </xf>
    <xf numFmtId="0" fontId="19" fillId="62" borderId="15" xfId="0" applyFont="1" applyFill="1" applyBorder="1" applyAlignment="1" applyProtection="1">
      <alignment horizontal="right"/>
      <protection/>
    </xf>
    <xf numFmtId="0" fontId="19" fillId="10" borderId="15" xfId="0" applyFont="1" applyFill="1" applyBorder="1" applyAlignment="1" applyProtection="1">
      <alignment horizontal="right"/>
      <protection/>
    </xf>
    <xf numFmtId="0" fontId="19" fillId="66" borderId="15" xfId="0" applyFont="1" applyFill="1" applyBorder="1" applyAlignment="1" applyProtection="1">
      <alignment horizontal="right"/>
      <protection/>
    </xf>
    <xf numFmtId="0" fontId="24" fillId="26" borderId="15" xfId="0" applyFont="1" applyFill="1" applyBorder="1" applyAlignment="1" applyProtection="1">
      <alignment horizontal="right"/>
      <protection/>
    </xf>
    <xf numFmtId="0" fontId="19" fillId="0" borderId="15" xfId="0" applyFont="1" applyFill="1" applyBorder="1" applyAlignment="1" applyProtection="1">
      <alignment horizontal="left"/>
      <protection/>
    </xf>
    <xf numFmtId="0" fontId="24" fillId="0" borderId="15" xfId="0" applyFont="1" applyBorder="1" applyAlignment="1" applyProtection="1">
      <alignment horizontal="right"/>
      <protection/>
    </xf>
    <xf numFmtId="0" fontId="24" fillId="0" borderId="0" xfId="0" applyFont="1" applyFill="1" applyBorder="1" applyAlignment="1" applyProtection="1">
      <alignment horizontal="right"/>
      <protection/>
    </xf>
    <xf numFmtId="0" fontId="18" fillId="0" borderId="0" xfId="0" applyFont="1" applyFill="1" applyBorder="1" applyAlignment="1" applyProtection="1">
      <alignment horizontal="right"/>
      <protection/>
    </xf>
    <xf numFmtId="49" fontId="24" fillId="26" borderId="0" xfId="0" applyNumberFormat="1" applyFont="1" applyFill="1" applyBorder="1" applyAlignment="1">
      <alignment vertical="center" wrapText="1"/>
    </xf>
    <xf numFmtId="49" fontId="24" fillId="26" borderId="0" xfId="0" applyNumberFormat="1" applyFont="1" applyFill="1" applyBorder="1" applyAlignment="1">
      <alignment horizontal="right" vertical="center" wrapText="1"/>
    </xf>
    <xf numFmtId="0" fontId="24" fillId="27" borderId="0" xfId="0" applyFont="1" applyFill="1" applyBorder="1" applyAlignment="1">
      <alignment vertical="center" wrapText="1"/>
    </xf>
    <xf numFmtId="0" fontId="24" fillId="27" borderId="0" xfId="0" applyFont="1" applyFill="1" applyBorder="1" applyAlignment="1">
      <alignment horizontal="center" vertical="center" wrapText="1"/>
    </xf>
    <xf numFmtId="49" fontId="24" fillId="27" borderId="0" xfId="0" applyNumberFormat="1" applyFont="1" applyFill="1" applyBorder="1" applyAlignment="1">
      <alignment vertical="center" wrapText="1"/>
    </xf>
    <xf numFmtId="49" fontId="18" fillId="27" borderId="0" xfId="0" applyNumberFormat="1" applyFont="1" applyFill="1" applyBorder="1" applyAlignment="1">
      <alignment horizontal="right" vertical="center"/>
    </xf>
    <xf numFmtId="0" fontId="18" fillId="27" borderId="0" xfId="0" applyFont="1" applyFill="1" applyAlignment="1">
      <alignment horizontal="right"/>
    </xf>
    <xf numFmtId="0" fontId="19" fillId="27" borderId="0" xfId="0" applyFont="1" applyFill="1" applyBorder="1" applyAlignment="1">
      <alignment vertical="center" wrapText="1"/>
    </xf>
    <xf numFmtId="0" fontId="24" fillId="27" borderId="0" xfId="0" applyFont="1" applyFill="1" applyBorder="1" applyAlignment="1">
      <alignment horizontal="center"/>
    </xf>
    <xf numFmtId="0" fontId="24" fillId="27" borderId="0" xfId="0" applyFont="1" applyFill="1" applyBorder="1" applyAlignment="1">
      <alignment horizontal="left"/>
    </xf>
    <xf numFmtId="0" fontId="24" fillId="27" borderId="0" xfId="0" applyFont="1" applyFill="1" applyBorder="1" applyAlignment="1">
      <alignment/>
    </xf>
    <xf numFmtId="4" fontId="19" fillId="27" borderId="31" xfId="0" applyNumberFormat="1" applyFont="1" applyFill="1" applyBorder="1" applyAlignment="1">
      <alignment horizontal="right" vertical="center" wrapText="1"/>
    </xf>
    <xf numFmtId="4" fontId="19" fillId="27" borderId="32" xfId="0" applyNumberFormat="1" applyFont="1" applyFill="1" applyBorder="1" applyAlignment="1">
      <alignment horizontal="right" vertical="center" wrapText="1"/>
    </xf>
    <xf numFmtId="10" fontId="22" fillId="27" borderId="23" xfId="55" applyNumberFormat="1" applyFont="1" applyFill="1" applyBorder="1" applyAlignment="1">
      <alignment horizontal="center" vertical="center"/>
    </xf>
    <xf numFmtId="2" fontId="19" fillId="26" borderId="32" xfId="0" applyNumberFormat="1" applyFont="1" applyFill="1" applyBorder="1" applyAlignment="1">
      <alignment horizontal="center" vertical="center"/>
    </xf>
    <xf numFmtId="2" fontId="19" fillId="26" borderId="32" xfId="0" applyNumberFormat="1" applyFont="1" applyFill="1" applyBorder="1" applyAlignment="1">
      <alignment horizontal="right"/>
    </xf>
    <xf numFmtId="0" fontId="19" fillId="27" borderId="33" xfId="0" applyFont="1" applyFill="1" applyBorder="1" applyAlignment="1">
      <alignment horizontal="right"/>
    </xf>
    <xf numFmtId="0" fontId="21" fillId="27" borderId="23" xfId="0" applyFont="1" applyFill="1" applyBorder="1" applyAlignment="1">
      <alignment/>
    </xf>
    <xf numFmtId="10" fontId="1" fillId="78" borderId="23" xfId="55" applyNumberFormat="1" applyFill="1" applyBorder="1" applyAlignment="1">
      <alignment horizontal="left"/>
    </xf>
    <xf numFmtId="4" fontId="19" fillId="0" borderId="20" xfId="0" applyNumberFormat="1" applyFont="1" applyFill="1" applyBorder="1" applyAlignment="1">
      <alignment horizontal="right"/>
    </xf>
    <xf numFmtId="4" fontId="19" fillId="79" borderId="31" xfId="0" applyNumberFormat="1" applyFont="1" applyFill="1" applyBorder="1" applyAlignment="1">
      <alignment horizontal="right" vertical="center" wrapText="1"/>
    </xf>
    <xf numFmtId="3" fontId="22" fillId="26" borderId="34" xfId="53" applyNumberFormat="1" applyFont="1" applyFill="1" applyBorder="1" applyAlignment="1" applyProtection="1">
      <alignment horizontal="right" vertical="center" wrapText="1"/>
      <protection locked="0"/>
    </xf>
    <xf numFmtId="9" fontId="22" fillId="33" borderId="19" xfId="55" applyFont="1" applyFill="1" applyBorder="1" applyAlignment="1" applyProtection="1">
      <alignment horizontal="right" vertical="center" wrapText="1"/>
      <protection locked="0"/>
    </xf>
    <xf numFmtId="10" fontId="22" fillId="33" borderId="19" xfId="55" applyNumberFormat="1" applyFont="1" applyFill="1" applyBorder="1" applyAlignment="1" applyProtection="1">
      <alignment horizontal="right" vertical="center" wrapText="1"/>
      <protection locked="0"/>
    </xf>
    <xf numFmtId="3" fontId="22" fillId="26" borderId="19" xfId="53" applyNumberFormat="1" applyFont="1" applyFill="1" applyBorder="1" applyAlignment="1" applyProtection="1">
      <alignment horizontal="right" vertical="center" wrapText="1"/>
      <protection/>
    </xf>
    <xf numFmtId="0" fontId="24" fillId="26" borderId="19" xfId="0" applyFont="1" applyFill="1" applyBorder="1" applyAlignment="1">
      <alignment horizontal="right"/>
    </xf>
    <xf numFmtId="10" fontId="22" fillId="33" borderId="19" xfId="55" applyNumberFormat="1" applyFont="1" applyFill="1" applyBorder="1" applyAlignment="1">
      <alignment horizontal="right"/>
    </xf>
    <xf numFmtId="0" fontId="18" fillId="28" borderId="19" xfId="0" applyFont="1" applyFill="1" applyBorder="1" applyAlignment="1">
      <alignment horizontal="right"/>
    </xf>
    <xf numFmtId="4" fontId="22" fillId="26" borderId="19" xfId="53" applyNumberFormat="1" applyFont="1" applyFill="1" applyBorder="1" applyAlignment="1" applyProtection="1">
      <alignment horizontal="right" vertical="center" wrapText="1"/>
      <protection locked="0"/>
    </xf>
    <xf numFmtId="0" fontId="19" fillId="0" borderId="35" xfId="0" applyFont="1" applyFill="1" applyBorder="1" applyAlignment="1">
      <alignment horizontal="right"/>
    </xf>
    <xf numFmtId="0" fontId="19" fillId="0" borderId="36" xfId="0" applyFont="1" applyFill="1" applyBorder="1" applyAlignment="1">
      <alignment horizontal="right"/>
    </xf>
    <xf numFmtId="0" fontId="19" fillId="0" borderId="36" xfId="0" applyFont="1" applyFill="1" applyBorder="1" applyAlignment="1" applyProtection="1">
      <alignment horizontal="right"/>
      <protection/>
    </xf>
    <xf numFmtId="0" fontId="18" fillId="0" borderId="36" xfId="0" applyFont="1" applyBorder="1" applyAlignment="1">
      <alignment horizontal="right"/>
    </xf>
    <xf numFmtId="0" fontId="19" fillId="0" borderId="36" xfId="0" applyFont="1" applyFill="1" applyBorder="1" applyAlignment="1">
      <alignment/>
    </xf>
    <xf numFmtId="0" fontId="18" fillId="0" borderId="36" xfId="0" applyFont="1" applyBorder="1" applyAlignment="1">
      <alignment/>
    </xf>
    <xf numFmtId="0" fontId="18" fillId="27" borderId="36" xfId="0" applyFont="1" applyFill="1" applyBorder="1" applyAlignment="1">
      <alignment/>
    </xf>
    <xf numFmtId="0" fontId="18" fillId="27" borderId="36" xfId="0" applyFont="1" applyFill="1" applyBorder="1" applyAlignment="1">
      <alignment horizontal="right"/>
    </xf>
    <xf numFmtId="4" fontId="24" fillId="27" borderId="36" xfId="0" applyNumberFormat="1" applyFont="1" applyFill="1" applyBorder="1" applyAlignment="1">
      <alignment horizontal="right"/>
    </xf>
    <xf numFmtId="4" fontId="24" fillId="0" borderId="36" xfId="0" applyNumberFormat="1" applyFont="1" applyFill="1" applyBorder="1" applyAlignment="1">
      <alignment horizontal="right"/>
    </xf>
    <xf numFmtId="4" fontId="24" fillId="0" borderId="37" xfId="0" applyNumberFormat="1" applyFont="1" applyFill="1" applyBorder="1" applyAlignment="1">
      <alignment horizontal="right"/>
    </xf>
    <xf numFmtId="0" fontId="24" fillId="27" borderId="38" xfId="0" applyFont="1" applyFill="1" applyBorder="1" applyAlignment="1">
      <alignment horizontal="right"/>
    </xf>
    <xf numFmtId="0" fontId="24" fillId="27" borderId="32" xfId="0" applyFont="1" applyFill="1" applyBorder="1" applyAlignment="1">
      <alignment horizontal="right"/>
    </xf>
    <xf numFmtId="0" fontId="24" fillId="27" borderId="32" xfId="0" applyFont="1" applyFill="1" applyBorder="1" applyAlignment="1" applyProtection="1">
      <alignment horizontal="right"/>
      <protection/>
    </xf>
    <xf numFmtId="0" fontId="18" fillId="27" borderId="32" xfId="0" applyFont="1" applyFill="1" applyBorder="1" applyAlignment="1">
      <alignment horizontal="right"/>
    </xf>
    <xf numFmtId="0" fontId="19" fillId="27" borderId="32" xfId="0" applyFont="1" applyFill="1" applyBorder="1" applyAlignment="1">
      <alignment/>
    </xf>
    <xf numFmtId="0" fontId="18" fillId="27" borderId="32" xfId="0" applyFont="1" applyFill="1" applyBorder="1" applyAlignment="1">
      <alignment/>
    </xf>
    <xf numFmtId="43" fontId="22" fillId="26" borderId="26" xfId="47" applyNumberFormat="1" applyFont="1" applyFill="1" applyBorder="1" applyAlignment="1">
      <alignment/>
    </xf>
    <xf numFmtId="3" fontId="24" fillId="26" borderId="15" xfId="0" applyNumberFormat="1" applyFont="1" applyFill="1" applyBorder="1" applyAlignment="1">
      <alignment/>
    </xf>
    <xf numFmtId="3" fontId="22" fillId="26" borderId="15" xfId="53" applyNumberFormat="1" applyFont="1" applyFill="1" applyBorder="1" applyAlignment="1" applyProtection="1">
      <alignment horizontal="center" vertical="center" wrapText="1"/>
      <protection locked="0"/>
    </xf>
    <xf numFmtId="10" fontId="22" fillId="33" borderId="15" xfId="55" applyNumberFormat="1" applyFont="1" applyFill="1" applyBorder="1" applyAlignment="1" applyProtection="1">
      <alignment horizontal="center" vertical="center" wrapText="1"/>
      <protection locked="0"/>
    </xf>
    <xf numFmtId="3" fontId="22" fillId="26" borderId="15" xfId="53" applyNumberFormat="1" applyFont="1" applyFill="1" applyBorder="1" applyAlignment="1" applyProtection="1">
      <alignment horizontal="center" vertical="center" wrapText="1"/>
      <protection/>
    </xf>
    <xf numFmtId="9" fontId="22" fillId="33" borderId="15" xfId="55" applyFont="1" applyFill="1" applyBorder="1" applyAlignment="1" applyProtection="1">
      <alignment horizontal="center" vertical="center" wrapText="1"/>
      <protection locked="0"/>
    </xf>
    <xf numFmtId="0" fontId="24" fillId="27" borderId="15" xfId="0" applyFont="1" applyFill="1" applyBorder="1" applyAlignment="1">
      <alignment horizontal="center" vertical="center" wrapText="1"/>
    </xf>
    <xf numFmtId="0" fontId="18" fillId="27" borderId="15" xfId="0" applyFont="1" applyFill="1" applyBorder="1" applyAlignment="1">
      <alignment horizontal="center" vertical="center"/>
    </xf>
    <xf numFmtId="10" fontId="22" fillId="34" borderId="15" xfId="55" applyNumberFormat="1" applyFont="1" applyFill="1" applyBorder="1" applyAlignment="1">
      <alignment horizontal="right" vertical="center"/>
    </xf>
    <xf numFmtId="10" fontId="22" fillId="33" borderId="15" xfId="55" applyNumberFormat="1" applyFont="1" applyFill="1" applyBorder="1" applyAlignment="1">
      <alignment horizontal="right" vertical="center"/>
    </xf>
    <xf numFmtId="0" fontId="24" fillId="26" borderId="15" xfId="0" applyFont="1" applyFill="1" applyBorder="1" applyAlignment="1">
      <alignment horizontal="right" vertical="center"/>
    </xf>
    <xf numFmtId="0" fontId="19" fillId="39" borderId="15" xfId="0" applyFont="1" applyFill="1" applyBorder="1" applyAlignment="1">
      <alignment horizontal="center" vertical="center" wrapText="1"/>
    </xf>
    <xf numFmtId="4" fontId="19" fillId="39" borderId="15" xfId="0" applyNumberFormat="1" applyFont="1" applyFill="1" applyBorder="1" applyAlignment="1">
      <alignment horizontal="center" vertical="center" wrapText="1"/>
    </xf>
    <xf numFmtId="0" fontId="27" fillId="27" borderId="15" xfId="0" applyFont="1" applyFill="1" applyBorder="1" applyAlignment="1">
      <alignment horizontal="center" vertical="center" wrapText="1"/>
    </xf>
    <xf numFmtId="0" fontId="19" fillId="41" borderId="15" xfId="0" applyFont="1" applyFill="1" applyBorder="1" applyAlignment="1">
      <alignment horizontal="center" vertical="center" wrapText="1"/>
    </xf>
    <xf numFmtId="3" fontId="27" fillId="27" borderId="15" xfId="0" applyNumberFormat="1"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27" borderId="15" xfId="0" applyFont="1" applyFill="1" applyBorder="1" applyAlignment="1">
      <alignment horizontal="center" vertical="center" wrapText="1"/>
    </xf>
    <xf numFmtId="4" fontId="19" fillId="39" borderId="15" xfId="0" applyNumberFormat="1" applyFont="1" applyFill="1" applyBorder="1" applyAlignment="1">
      <alignment horizontal="center" vertical="center" wrapText="1"/>
    </xf>
    <xf numFmtId="3" fontId="22" fillId="26" borderId="15" xfId="53" applyNumberFormat="1" applyFont="1" applyFill="1" applyBorder="1" applyAlignment="1" applyProtection="1">
      <alignment horizontal="center" vertical="center" wrapText="1"/>
      <protection locked="0"/>
    </xf>
    <xf numFmtId="0" fontId="24" fillId="26" borderId="15" xfId="0" applyFont="1" applyFill="1" applyBorder="1" applyAlignment="1">
      <alignment horizontal="left" vertical="center" wrapText="1"/>
    </xf>
    <xf numFmtId="0" fontId="24" fillId="80" borderId="15" xfId="0" applyFont="1" applyFill="1" applyBorder="1" applyAlignment="1">
      <alignment horizontal="center" vertical="center" wrapText="1"/>
    </xf>
    <xf numFmtId="0" fontId="18" fillId="78" borderId="15" xfId="0" applyFont="1" applyFill="1" applyBorder="1" applyAlignment="1">
      <alignment horizontal="center" vertical="center" wrapText="1"/>
    </xf>
    <xf numFmtId="0" fontId="18" fillId="0" borderId="0" xfId="0" applyFont="1" applyAlignment="1">
      <alignment horizontal="left"/>
    </xf>
    <xf numFmtId="0" fontId="18" fillId="22" borderId="15" xfId="0" applyFont="1" applyFill="1" applyBorder="1" applyAlignment="1">
      <alignment horizontal="left"/>
    </xf>
    <xf numFmtId="0" fontId="19" fillId="10" borderId="15" xfId="0" applyFont="1" applyFill="1" applyBorder="1" applyAlignment="1">
      <alignment horizontal="left"/>
    </xf>
    <xf numFmtId="0" fontId="19" fillId="41" borderId="15" xfId="0" applyFont="1" applyFill="1" applyBorder="1" applyAlignment="1">
      <alignment horizontal="left" vertical="center" wrapText="1"/>
    </xf>
    <xf numFmtId="0" fontId="19" fillId="42" borderId="15" xfId="0" applyFont="1" applyFill="1" applyBorder="1" applyAlignment="1">
      <alignment horizontal="left"/>
    </xf>
    <xf numFmtId="0" fontId="24" fillId="29" borderId="15" xfId="0" applyFont="1" applyFill="1" applyBorder="1" applyAlignment="1">
      <alignment horizontal="left" wrapText="1"/>
    </xf>
    <xf numFmtId="0" fontId="24" fillId="0" borderId="15" xfId="0" applyFont="1" applyFill="1" applyBorder="1" applyAlignment="1">
      <alignment horizontal="left"/>
    </xf>
    <xf numFmtId="0" fontId="24" fillId="22" borderId="15" xfId="0" applyFont="1" applyFill="1" applyBorder="1" applyAlignment="1">
      <alignment horizontal="left"/>
    </xf>
    <xf numFmtId="0" fontId="19" fillId="49" borderId="15" xfId="0" applyFont="1" applyFill="1" applyBorder="1" applyAlignment="1">
      <alignment horizontal="left"/>
    </xf>
    <xf numFmtId="0" fontId="24" fillId="29" borderId="15" xfId="0" applyFont="1" applyFill="1" applyBorder="1" applyAlignment="1">
      <alignment horizontal="left" vertical="center" wrapText="1"/>
    </xf>
    <xf numFmtId="0" fontId="24" fillId="0" borderId="15" xfId="0" applyFont="1" applyFill="1" applyBorder="1" applyAlignment="1">
      <alignment horizontal="left" vertical="center"/>
    </xf>
    <xf numFmtId="0" fontId="19" fillId="10" borderId="15" xfId="0" applyFont="1" applyFill="1" applyBorder="1" applyAlignment="1">
      <alignment horizontal="left" vertical="center"/>
    </xf>
    <xf numFmtId="0" fontId="19" fillId="58" borderId="15" xfId="0" applyFont="1" applyFill="1" applyBorder="1" applyAlignment="1">
      <alignment horizontal="left" vertical="center"/>
    </xf>
    <xf numFmtId="0" fontId="18" fillId="0" borderId="15" xfId="0" applyFont="1" applyBorder="1" applyAlignment="1">
      <alignment horizontal="left"/>
    </xf>
    <xf numFmtId="0" fontId="24" fillId="0" borderId="15" xfId="0" applyFont="1" applyBorder="1" applyAlignment="1">
      <alignment horizontal="left"/>
    </xf>
    <xf numFmtId="0" fontId="24" fillId="26" borderId="15" xfId="0" applyFont="1" applyFill="1" applyBorder="1" applyAlignment="1">
      <alignment horizontal="left"/>
    </xf>
    <xf numFmtId="0" fontId="24" fillId="26" borderId="19" xfId="0" applyFont="1" applyFill="1" applyBorder="1" applyAlignment="1">
      <alignment horizontal="left" wrapText="1"/>
    </xf>
    <xf numFmtId="0" fontId="18" fillId="0" borderId="36" xfId="0" applyFont="1" applyBorder="1" applyAlignment="1">
      <alignment horizontal="left"/>
    </xf>
    <xf numFmtId="0" fontId="18" fillId="27" borderId="32" xfId="0" applyFont="1" applyFill="1" applyBorder="1" applyAlignment="1">
      <alignment horizontal="left"/>
    </xf>
    <xf numFmtId="0" fontId="18" fillId="0" borderId="0" xfId="0" applyFont="1" applyFill="1" applyBorder="1" applyAlignment="1">
      <alignment horizontal="left"/>
    </xf>
    <xf numFmtId="0" fontId="24" fillId="80" borderId="15" xfId="0" applyFont="1" applyFill="1" applyBorder="1" applyAlignment="1">
      <alignment horizontal="right" vertical="center" textRotation="90"/>
    </xf>
    <xf numFmtId="0" fontId="24" fillId="51" borderId="15" xfId="0" applyFont="1" applyFill="1" applyBorder="1" applyAlignment="1" applyProtection="1">
      <alignment horizontal="right" vertical="center" wrapText="1"/>
      <protection/>
    </xf>
    <xf numFmtId="0" fontId="24" fillId="80" borderId="15" xfId="0" applyFont="1" applyFill="1" applyBorder="1" applyAlignment="1">
      <alignment horizontal="right"/>
    </xf>
    <xf numFmtId="0" fontId="22" fillId="26" borderId="15" xfId="0" applyFont="1" applyFill="1" applyBorder="1" applyAlignment="1">
      <alignment horizontal="right" vertical="center"/>
    </xf>
    <xf numFmtId="10" fontId="23" fillId="30" borderId="15" xfId="55" applyNumberFormat="1" applyFont="1" applyFill="1" applyBorder="1" applyAlignment="1">
      <alignment horizontal="center" vertical="center"/>
    </xf>
    <xf numFmtId="10" fontId="1" fillId="45" borderId="15" xfId="55" applyNumberFormat="1" applyFont="1" applyFill="1" applyBorder="1" applyAlignment="1" applyProtection="1">
      <alignment horizontal="right" vertical="center" wrapText="1"/>
      <protection locked="0"/>
    </xf>
    <xf numFmtId="4" fontId="19" fillId="10" borderId="19" xfId="0" applyNumberFormat="1" applyFont="1" applyFill="1" applyBorder="1" applyAlignment="1">
      <alignment horizontal="right"/>
    </xf>
    <xf numFmtId="4" fontId="19" fillId="40" borderId="25" xfId="0" applyNumberFormat="1" applyFont="1" applyFill="1" applyBorder="1" applyAlignment="1">
      <alignment horizontal="right" vertical="center"/>
    </xf>
    <xf numFmtId="4" fontId="22" fillId="33" borderId="23" xfId="55" applyNumberFormat="1" applyFont="1" applyFill="1" applyBorder="1" applyAlignment="1" applyProtection="1">
      <alignment horizontal="right" vertical="center" wrapText="1"/>
      <protection locked="0"/>
    </xf>
    <xf numFmtId="4" fontId="19" fillId="33" borderId="15" xfId="0" applyNumberFormat="1" applyFont="1" applyFill="1" applyBorder="1" applyAlignment="1">
      <alignment horizontal="right"/>
    </xf>
    <xf numFmtId="4" fontId="22" fillId="33" borderId="15" xfId="55" applyNumberFormat="1" applyFont="1" applyFill="1" applyBorder="1" applyAlignment="1">
      <alignment horizontal="right"/>
    </xf>
    <xf numFmtId="4" fontId="22" fillId="10" borderId="15" xfId="47" applyNumberFormat="1" applyFont="1" applyFill="1" applyBorder="1" applyAlignment="1">
      <alignment horizontal="right"/>
    </xf>
    <xf numFmtId="4" fontId="19" fillId="71" borderId="25" xfId="0" applyNumberFormat="1" applyFont="1" applyFill="1" applyBorder="1" applyAlignment="1">
      <alignment horizontal="right" vertical="center"/>
    </xf>
    <xf numFmtId="4" fontId="22" fillId="33" borderId="15" xfId="55" applyNumberFormat="1" applyFont="1" applyFill="1" applyBorder="1" applyAlignment="1" applyProtection="1">
      <alignment horizontal="right" vertical="center" wrapText="1"/>
      <protection locked="0"/>
    </xf>
    <xf numFmtId="4" fontId="24" fillId="51" borderId="15" xfId="0" applyNumberFormat="1" applyFont="1" applyFill="1" applyBorder="1" applyAlignment="1" applyProtection="1">
      <alignment horizontal="right" vertical="center" wrapText="1"/>
      <protection/>
    </xf>
    <xf numFmtId="4" fontId="22" fillId="33" borderId="15" xfId="55" applyNumberFormat="1" applyFont="1" applyFill="1" applyBorder="1" applyAlignment="1">
      <alignment vertical="center" wrapText="1"/>
    </xf>
    <xf numFmtId="4" fontId="22" fillId="33" borderId="15" xfId="55" applyNumberFormat="1" applyFont="1" applyFill="1" applyBorder="1" applyAlignment="1">
      <alignment horizontal="center" vertical="center"/>
    </xf>
    <xf numFmtId="4" fontId="22" fillId="10" borderId="15" xfId="47" applyNumberFormat="1" applyFont="1" applyFill="1" applyBorder="1" applyAlignment="1">
      <alignment horizontal="center" vertical="center"/>
    </xf>
    <xf numFmtId="4" fontId="22" fillId="33" borderId="15" xfId="55" applyNumberFormat="1" applyFont="1" applyFill="1" applyBorder="1" applyAlignment="1" applyProtection="1">
      <alignment horizontal="center" vertical="center" wrapText="1"/>
      <protection locked="0"/>
    </xf>
    <xf numFmtId="4" fontId="19" fillId="33" borderId="15" xfId="0" applyNumberFormat="1" applyFont="1" applyFill="1" applyBorder="1" applyAlignment="1">
      <alignment horizontal="center" vertical="center"/>
    </xf>
    <xf numFmtId="4" fontId="22" fillId="33" borderId="15" xfId="55" applyNumberFormat="1" applyFont="1" applyFill="1" applyBorder="1" applyAlignment="1">
      <alignment horizontal="right" vertical="center"/>
    </xf>
    <xf numFmtId="4" fontId="19" fillId="40" borderId="15" xfId="0" applyNumberFormat="1" applyFont="1" applyFill="1" applyBorder="1" applyAlignment="1">
      <alignment horizontal="right" vertical="center"/>
    </xf>
    <xf numFmtId="4" fontId="22" fillId="60" borderId="15" xfId="55" applyNumberFormat="1" applyFont="1" applyFill="1" applyBorder="1" applyAlignment="1" applyProtection="1">
      <alignment horizontal="right" vertical="center" wrapText="1"/>
      <protection locked="0"/>
    </xf>
    <xf numFmtId="4" fontId="22" fillId="34" borderId="15" xfId="55" applyNumberFormat="1" applyFont="1" applyFill="1" applyBorder="1" applyAlignment="1">
      <alignment horizontal="right" vertical="center"/>
    </xf>
    <xf numFmtId="4" fontId="19" fillId="10" borderId="15" xfId="0" applyNumberFormat="1" applyFont="1" applyFill="1" applyBorder="1" applyAlignment="1">
      <alignment horizontal="right"/>
    </xf>
    <xf numFmtId="4" fontId="19" fillId="43" borderId="15" xfId="0" applyNumberFormat="1" applyFont="1" applyFill="1" applyBorder="1" applyAlignment="1">
      <alignment horizontal="right"/>
    </xf>
    <xf numFmtId="4" fontId="22" fillId="34" borderId="15" xfId="55" applyNumberFormat="1" applyFont="1" applyFill="1" applyBorder="1" applyAlignment="1">
      <alignment horizontal="right"/>
    </xf>
    <xf numFmtId="4" fontId="19" fillId="0" borderId="15" xfId="0" applyNumberFormat="1" applyFont="1" applyFill="1" applyBorder="1" applyAlignment="1">
      <alignment horizontal="left"/>
    </xf>
    <xf numFmtId="4" fontId="22" fillId="33" borderId="19" xfId="55" applyNumberFormat="1" applyFont="1" applyFill="1" applyBorder="1" applyAlignment="1" applyProtection="1">
      <alignment horizontal="right" vertical="center" wrapText="1"/>
      <protection locked="0"/>
    </xf>
    <xf numFmtId="4" fontId="19" fillId="0" borderId="36" xfId="0" applyNumberFormat="1" applyFont="1" applyFill="1" applyBorder="1" applyAlignment="1">
      <alignment horizontal="right"/>
    </xf>
    <xf numFmtId="4" fontId="24" fillId="27" borderId="32" xfId="0" applyNumberFormat="1" applyFont="1" applyFill="1" applyBorder="1" applyAlignment="1">
      <alignment horizontal="right"/>
    </xf>
    <xf numFmtId="43" fontId="22" fillId="29" borderId="15" xfId="47" applyFont="1" applyFill="1" applyBorder="1" applyAlignment="1">
      <alignment horizontal="right"/>
    </xf>
    <xf numFmtId="4" fontId="22" fillId="81" borderId="15" xfId="53" applyNumberFormat="1" applyFont="1" applyFill="1" applyBorder="1" applyAlignment="1" applyProtection="1">
      <alignment horizontal="right" vertical="center" wrapText="1"/>
      <protection locked="0"/>
    </xf>
    <xf numFmtId="4" fontId="27" fillId="54" borderId="15" xfId="0" applyNumberFormat="1" applyFont="1" applyFill="1" applyBorder="1" applyAlignment="1">
      <alignment horizontal="right" vertical="center" wrapText="1"/>
    </xf>
    <xf numFmtId="4" fontId="18" fillId="54" borderId="15" xfId="0" applyNumberFormat="1" applyFont="1" applyFill="1" applyBorder="1" applyAlignment="1">
      <alignment horizontal="center" vertical="center" wrapText="1"/>
    </xf>
    <xf numFmtId="4" fontId="19" fillId="0" borderId="20" xfId="0" applyNumberFormat="1" applyFont="1" applyFill="1" applyBorder="1" applyAlignment="1">
      <alignment vertical="center"/>
    </xf>
    <xf numFmtId="4" fontId="27" fillId="27" borderId="15" xfId="0" applyNumberFormat="1" applyFont="1" applyFill="1" applyBorder="1" applyAlignment="1">
      <alignment horizontal="right" vertical="center" wrapText="1"/>
    </xf>
    <xf numFmtId="1" fontId="1" fillId="45" borderId="15" xfId="55" applyNumberFormat="1" applyFont="1" applyFill="1" applyBorder="1" applyAlignment="1" applyProtection="1">
      <alignment horizontal="right" vertical="center" wrapText="1"/>
      <protection locked="0"/>
    </xf>
    <xf numFmtId="0" fontId="19" fillId="0" borderId="35" xfId="0" applyFont="1" applyFill="1" applyBorder="1" applyAlignment="1">
      <alignment vertical="center"/>
    </xf>
    <xf numFmtId="0" fontId="19" fillId="0" borderId="36" xfId="0" applyFont="1" applyFill="1" applyBorder="1" applyAlignment="1">
      <alignment vertical="center"/>
    </xf>
    <xf numFmtId="0" fontId="18" fillId="27" borderId="24" xfId="0" applyFont="1" applyFill="1" applyBorder="1" applyAlignment="1">
      <alignment horizontal="right"/>
    </xf>
    <xf numFmtId="0" fontId="18" fillId="27" borderId="25" xfId="0" applyFont="1" applyFill="1" applyBorder="1" applyAlignment="1">
      <alignment/>
    </xf>
    <xf numFmtId="0" fontId="18" fillId="27" borderId="26" xfId="0" applyFont="1" applyFill="1" applyBorder="1" applyAlignment="1">
      <alignment/>
    </xf>
    <xf numFmtId="43" fontId="22" fillId="27" borderId="0" xfId="47" applyFont="1" applyFill="1" applyAlignment="1">
      <alignment horizontal="right"/>
    </xf>
    <xf numFmtId="0" fontId="19" fillId="6" borderId="36" xfId="0" applyFont="1" applyFill="1" applyBorder="1" applyAlignment="1">
      <alignment wrapText="1"/>
    </xf>
    <xf numFmtId="49" fontId="18" fillId="6" borderId="32" xfId="0" applyNumberFormat="1" applyFont="1" applyFill="1" applyBorder="1" applyAlignment="1">
      <alignment horizontal="right" vertical="center"/>
    </xf>
    <xf numFmtId="0" fontId="18" fillId="6" borderId="32" xfId="0" applyFont="1" applyFill="1" applyBorder="1" applyAlignment="1">
      <alignment/>
    </xf>
    <xf numFmtId="0" fontId="18" fillId="6" borderId="39" xfId="0" applyFont="1" applyFill="1" applyBorder="1" applyAlignment="1">
      <alignment/>
    </xf>
    <xf numFmtId="0" fontId="19" fillId="38" borderId="15" xfId="0" applyFont="1" applyFill="1" applyBorder="1" applyAlignment="1">
      <alignment horizontal="right"/>
    </xf>
    <xf numFmtId="0" fontId="19" fillId="38" borderId="15" xfId="0" applyFont="1" applyFill="1" applyBorder="1" applyAlignment="1">
      <alignment horizontal="left"/>
    </xf>
    <xf numFmtId="0" fontId="24" fillId="0" borderId="15" xfId="0" applyFont="1" applyFill="1" applyBorder="1" applyAlignment="1">
      <alignment horizontal="left" vertical="center" wrapText="1"/>
    </xf>
    <xf numFmtId="0" fontId="24" fillId="0" borderId="15" xfId="0" applyFont="1" applyBorder="1" applyAlignment="1">
      <alignment horizontal="left" wrapText="1"/>
    </xf>
    <xf numFmtId="0" fontId="24" fillId="26" borderId="15" xfId="0" applyFont="1" applyFill="1" applyBorder="1" applyAlignment="1">
      <alignment horizontal="left" wrapText="1"/>
    </xf>
    <xf numFmtId="43" fontId="22" fillId="0" borderId="0" xfId="47" applyNumberFormat="1" applyFont="1" applyAlignment="1">
      <alignment horizontal="right"/>
    </xf>
    <xf numFmtId="0" fontId="18" fillId="0" borderId="0" xfId="0" applyFont="1" applyAlignment="1">
      <alignment horizontal="right" vertical="center"/>
    </xf>
    <xf numFmtId="0" fontId="19" fillId="62" borderId="15" xfId="0" applyFont="1" applyFill="1" applyBorder="1" applyAlignment="1">
      <alignment horizontal="right" vertical="center"/>
    </xf>
    <xf numFmtId="3" fontId="22" fillId="26" borderId="15" xfId="53" applyNumberFormat="1" applyFont="1" applyFill="1" applyBorder="1" applyAlignment="1" applyProtection="1">
      <alignment horizontal="center" vertical="center" wrapText="1"/>
      <protection locked="0"/>
    </xf>
    <xf numFmtId="0" fontId="24" fillId="26" borderId="15" xfId="0" applyFont="1" applyFill="1" applyBorder="1" applyAlignment="1">
      <alignment horizontal="right" vertical="center" wrapText="1"/>
    </xf>
    <xf numFmtId="0" fontId="0" fillId="0" borderId="15" xfId="0" applyBorder="1" applyAlignment="1">
      <alignment/>
    </xf>
    <xf numFmtId="0" fontId="35" fillId="0" borderId="15" xfId="0" applyFont="1" applyBorder="1" applyAlignment="1">
      <alignment horizontal="center"/>
    </xf>
    <xf numFmtId="0" fontId="30" fillId="0" borderId="15" xfId="0" applyFont="1" applyBorder="1" applyAlignment="1">
      <alignment horizontal="left" vertical="center" wrapText="1"/>
    </xf>
    <xf numFmtId="0" fontId="38" fillId="82" borderId="0" xfId="0" applyFont="1" applyFill="1" applyAlignment="1">
      <alignment/>
    </xf>
    <xf numFmtId="0" fontId="37" fillId="0" borderId="15" xfId="0" applyFont="1" applyBorder="1" applyAlignment="1">
      <alignment horizontal="left" vertical="center" wrapText="1"/>
    </xf>
    <xf numFmtId="0" fontId="37" fillId="83" borderId="19" xfId="0" applyFont="1" applyFill="1" applyBorder="1" applyAlignment="1">
      <alignment vertical="center" wrapText="1"/>
    </xf>
    <xf numFmtId="0" fontId="64" fillId="0" borderId="15" xfId="0" applyFont="1" applyBorder="1" applyAlignment="1">
      <alignment vertical="center" wrapText="1"/>
    </xf>
    <xf numFmtId="0" fontId="38" fillId="0" borderId="0" xfId="0" applyFont="1" applyAlignment="1">
      <alignment/>
    </xf>
    <xf numFmtId="0" fontId="1" fillId="0" borderId="0" xfId="0" applyFont="1" applyAlignment="1">
      <alignment/>
    </xf>
    <xf numFmtId="0" fontId="1" fillId="0" borderId="0" xfId="0" applyFont="1" applyFill="1" applyBorder="1" applyAlignment="1">
      <alignment/>
    </xf>
    <xf numFmtId="0" fontId="37" fillId="84" borderId="15" xfId="0" applyFont="1" applyFill="1" applyBorder="1" applyAlignment="1">
      <alignment horizontal="left" vertical="center" wrapText="1"/>
    </xf>
    <xf numFmtId="0" fontId="36" fillId="85" borderId="15" xfId="0" applyFont="1" applyFill="1" applyBorder="1" applyAlignment="1">
      <alignment horizontal="center"/>
    </xf>
    <xf numFmtId="0" fontId="1" fillId="0" borderId="15" xfId="0" applyFont="1" applyBorder="1" applyAlignment="1">
      <alignment horizontal="right"/>
    </xf>
    <xf numFmtId="0" fontId="1" fillId="0" borderId="15" xfId="0" applyFont="1" applyFill="1" applyBorder="1" applyAlignment="1">
      <alignment horizontal="right"/>
    </xf>
    <xf numFmtId="0" fontId="35" fillId="0" borderId="21" xfId="0" applyFont="1" applyBorder="1" applyAlignment="1">
      <alignment horizontal="center"/>
    </xf>
    <xf numFmtId="0" fontId="30" fillId="0" borderId="21" xfId="0" applyFont="1" applyBorder="1" applyAlignment="1">
      <alignment horizontal="left" vertical="center" wrapText="1"/>
    </xf>
    <xf numFmtId="0" fontId="30" fillId="84" borderId="21" xfId="0" applyFont="1" applyFill="1" applyBorder="1" applyAlignment="1">
      <alignment horizontal="left" vertical="center" wrapText="1"/>
    </xf>
    <xf numFmtId="0" fontId="37" fillId="84" borderId="21" xfId="0" applyFont="1" applyFill="1" applyBorder="1" applyAlignment="1">
      <alignment horizontal="left" vertical="center" wrapText="1"/>
    </xf>
    <xf numFmtId="0" fontId="1" fillId="82" borderId="15" xfId="0" applyFont="1" applyFill="1" applyBorder="1" applyAlignment="1">
      <alignment/>
    </xf>
    <xf numFmtId="0" fontId="38" fillId="82" borderId="15" xfId="0" applyFont="1" applyFill="1" applyBorder="1" applyAlignment="1">
      <alignment/>
    </xf>
    <xf numFmtId="0" fontId="38" fillId="82" borderId="15" xfId="0" applyFont="1" applyFill="1" applyBorder="1" applyAlignment="1">
      <alignment wrapText="1"/>
    </xf>
    <xf numFmtId="0" fontId="19" fillId="38" borderId="0" xfId="0" applyFont="1" applyFill="1" applyBorder="1" applyAlignment="1">
      <alignment horizontal="right"/>
    </xf>
    <xf numFmtId="9" fontId="0" fillId="0" borderId="15" xfId="0" applyNumberFormat="1" applyBorder="1" applyAlignment="1">
      <alignment/>
    </xf>
    <xf numFmtId="0" fontId="24" fillId="29" borderId="23" xfId="0" applyFont="1" applyFill="1" applyBorder="1" applyAlignment="1">
      <alignment horizontal="right"/>
    </xf>
    <xf numFmtId="0" fontId="18" fillId="26" borderId="40" xfId="0" applyFont="1" applyFill="1" applyBorder="1" applyAlignment="1">
      <alignment horizontal="center" vertical="center" wrapText="1"/>
    </xf>
    <xf numFmtId="0" fontId="24" fillId="29" borderId="40" xfId="0" applyFont="1" applyFill="1" applyBorder="1" applyAlignment="1">
      <alignment vertical="center" wrapText="1"/>
    </xf>
    <xf numFmtId="0" fontId="18" fillId="26" borderId="15" xfId="0" applyFont="1" applyFill="1" applyBorder="1" applyAlignment="1">
      <alignment horizontal="left"/>
    </xf>
    <xf numFmtId="4" fontId="24" fillId="26" borderId="15" xfId="0" applyNumberFormat="1" applyFont="1" applyFill="1" applyBorder="1" applyAlignment="1">
      <alignment horizontal="left"/>
    </xf>
    <xf numFmtId="2" fontId="24" fillId="0" borderId="15" xfId="0" applyNumberFormat="1" applyFont="1" applyFill="1" applyBorder="1" applyAlignment="1">
      <alignment horizontal="left"/>
    </xf>
    <xf numFmtId="4" fontId="24" fillId="0" borderId="15" xfId="0" applyNumberFormat="1" applyFont="1" applyFill="1" applyBorder="1" applyAlignment="1">
      <alignment horizontal="left"/>
    </xf>
    <xf numFmtId="0" fontId="18" fillId="29" borderId="15" xfId="0" applyFont="1" applyFill="1" applyBorder="1" applyAlignment="1">
      <alignment horizontal="center"/>
    </xf>
    <xf numFmtId="0" fontId="24" fillId="0" borderId="23" xfId="0" applyFont="1" applyBorder="1" applyAlignment="1">
      <alignment horizontal="right" wrapText="1"/>
    </xf>
    <xf numFmtId="0" fontId="24" fillId="0" borderId="23" xfId="0" applyFont="1" applyBorder="1" applyAlignment="1">
      <alignment horizontal="left" wrapText="1"/>
    </xf>
    <xf numFmtId="0" fontId="18" fillId="0" borderId="19" xfId="0" applyFont="1" applyFill="1" applyBorder="1" applyAlignment="1">
      <alignment horizontal="center" vertical="center" wrapText="1"/>
    </xf>
    <xf numFmtId="3" fontId="22" fillId="26" borderId="15" xfId="53" applyNumberFormat="1" applyFont="1" applyFill="1" applyBorder="1" applyAlignment="1" applyProtection="1">
      <alignment horizontal="right" vertical="center" wrapText="1"/>
      <protection locked="0"/>
    </xf>
    <xf numFmtId="3" fontId="22" fillId="26" borderId="15" xfId="53" applyNumberFormat="1" applyFont="1" applyFill="1" applyBorder="1" applyAlignment="1" applyProtection="1">
      <alignment horizontal="right" vertical="center" wrapText="1"/>
      <protection/>
    </xf>
    <xf numFmtId="0" fontId="24" fillId="26" borderId="15" xfId="0" applyFont="1" applyFill="1" applyBorder="1" applyAlignment="1">
      <alignment horizontal="left" vertical="center" wrapText="1"/>
    </xf>
    <xf numFmtId="0" fontId="18" fillId="27" borderId="15" xfId="0" applyFont="1" applyFill="1" applyBorder="1" applyAlignment="1">
      <alignment horizontal="center" vertical="center" wrapText="1"/>
    </xf>
    <xf numFmtId="0" fontId="24" fillId="29" borderId="40" xfId="0" applyFont="1" applyFill="1" applyBorder="1" applyAlignment="1">
      <alignment horizontal="right"/>
    </xf>
    <xf numFmtId="9" fontId="22" fillId="68" borderId="28" xfId="55" applyFont="1" applyFill="1" applyBorder="1" applyAlignment="1" applyProtection="1">
      <alignment horizontal="right" vertical="center" wrapText="1"/>
      <protection locked="0"/>
    </xf>
    <xf numFmtId="10" fontId="22" fillId="30" borderId="19" xfId="55" applyNumberFormat="1" applyFont="1" applyFill="1" applyBorder="1" applyAlignment="1" applyProtection="1">
      <alignment horizontal="right" vertical="center" wrapText="1"/>
      <protection locked="0"/>
    </xf>
    <xf numFmtId="0" fontId="19" fillId="38" borderId="25" xfId="0" applyFont="1" applyFill="1" applyBorder="1" applyAlignment="1">
      <alignment horizontal="right"/>
    </xf>
    <xf numFmtId="0" fontId="19" fillId="38" borderId="26" xfId="0" applyFont="1" applyFill="1" applyBorder="1" applyAlignment="1">
      <alignment horizontal="right"/>
    </xf>
    <xf numFmtId="0" fontId="24" fillId="29" borderId="0" xfId="0" applyFont="1" applyFill="1" applyBorder="1" applyAlignment="1">
      <alignment vertical="center" wrapText="1"/>
    </xf>
    <xf numFmtId="0" fontId="19" fillId="38" borderId="32" xfId="0" applyFont="1" applyFill="1" applyBorder="1" applyAlignment="1">
      <alignment horizontal="right"/>
    </xf>
    <xf numFmtId="9" fontId="22" fillId="33" borderId="0" xfId="55" applyFont="1" applyFill="1" applyBorder="1" applyAlignment="1" applyProtection="1">
      <alignment horizontal="right" vertical="center" wrapText="1"/>
      <protection locked="0"/>
    </xf>
    <xf numFmtId="10" fontId="22" fillId="33" borderId="0" xfId="55" applyNumberFormat="1" applyFont="1" applyFill="1" applyBorder="1" applyAlignment="1">
      <alignment horizontal="right"/>
    </xf>
    <xf numFmtId="10" fontId="22" fillId="30" borderId="0" xfId="55" applyNumberFormat="1" applyFont="1" applyFill="1" applyBorder="1" applyAlignment="1">
      <alignment horizontal="right" vertical="center"/>
    </xf>
    <xf numFmtId="0" fontId="24" fillId="26" borderId="19" xfId="0" applyFont="1" applyFill="1" applyBorder="1" applyAlignment="1">
      <alignment horizontal="right" vertical="center" wrapText="1"/>
    </xf>
    <xf numFmtId="0" fontId="19" fillId="38" borderId="39" xfId="0" applyFont="1" applyFill="1" applyBorder="1" applyAlignment="1">
      <alignment horizontal="right"/>
    </xf>
    <xf numFmtId="49" fontId="24" fillId="86" borderId="24" xfId="0" applyNumberFormat="1" applyFont="1" applyFill="1" applyBorder="1" applyAlignment="1">
      <alignment horizontal="center" vertical="center" wrapText="1"/>
    </xf>
    <xf numFmtId="49" fontId="24" fillId="86" borderId="25" xfId="0" applyNumberFormat="1" applyFont="1" applyFill="1" applyBorder="1" applyAlignment="1">
      <alignment horizontal="center" vertical="center" wrapText="1"/>
    </xf>
    <xf numFmtId="0" fontId="41" fillId="87" borderId="25" xfId="0" applyFont="1" applyFill="1" applyBorder="1" applyAlignment="1">
      <alignment horizontal="center" vertical="center" wrapText="1"/>
    </xf>
    <xf numFmtId="0" fontId="18" fillId="87" borderId="25" xfId="0" applyFont="1" applyFill="1" applyBorder="1" applyAlignment="1">
      <alignment horizontal="center" vertical="center" wrapText="1"/>
    </xf>
    <xf numFmtId="0" fontId="24" fillId="87" borderId="25" xfId="0" applyFont="1" applyFill="1" applyBorder="1" applyAlignment="1">
      <alignment horizontal="center" vertical="center" wrapText="1"/>
    </xf>
    <xf numFmtId="0" fontId="24" fillId="87" borderId="26" xfId="0" applyFont="1" applyFill="1" applyBorder="1" applyAlignment="1">
      <alignment horizontal="center" vertical="center" wrapText="1"/>
    </xf>
    <xf numFmtId="0" fontId="19" fillId="38" borderId="0" xfId="0" applyFont="1" applyFill="1" applyBorder="1" applyAlignment="1">
      <alignment/>
    </xf>
    <xf numFmtId="0" fontId="19" fillId="38" borderId="0" xfId="0" applyFont="1" applyFill="1" applyBorder="1" applyAlignment="1">
      <alignment horizontal="left"/>
    </xf>
    <xf numFmtId="0" fontId="38" fillId="78" borderId="15" xfId="0" applyFont="1" applyFill="1" applyBorder="1" applyAlignment="1">
      <alignment/>
    </xf>
    <xf numFmtId="0" fontId="1" fillId="78" borderId="15" xfId="0" applyFont="1" applyFill="1" applyBorder="1" applyAlignment="1">
      <alignment horizontal="right"/>
    </xf>
    <xf numFmtId="0" fontId="37" fillId="54" borderId="15" xfId="0" applyFont="1" applyFill="1" applyBorder="1" applyAlignment="1">
      <alignment horizontal="left" vertical="center" wrapText="1"/>
    </xf>
    <xf numFmtId="9" fontId="1" fillId="29" borderId="15" xfId="55" applyFill="1" applyBorder="1" applyAlignment="1">
      <alignment horizontal="right"/>
    </xf>
    <xf numFmtId="0" fontId="18" fillId="0" borderId="15" xfId="0" applyFont="1" applyBorder="1" applyAlignment="1">
      <alignment vertical="center" wrapText="1"/>
    </xf>
    <xf numFmtId="49" fontId="18" fillId="0" borderId="23" xfId="0" applyNumberFormat="1" applyFont="1" applyBorder="1" applyAlignment="1">
      <alignment vertical="center"/>
    </xf>
    <xf numFmtId="49" fontId="18" fillId="0" borderId="23" xfId="0" applyNumberFormat="1" applyFont="1" applyFill="1" applyBorder="1" applyAlignment="1">
      <alignment horizontal="right" vertical="center" wrapText="1"/>
    </xf>
    <xf numFmtId="0" fontId="18" fillId="0" borderId="23" xfId="0" applyFont="1" applyBorder="1" applyAlignment="1">
      <alignment vertical="center" wrapText="1"/>
    </xf>
    <xf numFmtId="1" fontId="27" fillId="27" borderId="23" xfId="0" applyNumberFormat="1" applyFont="1" applyFill="1" applyBorder="1" applyAlignment="1" applyProtection="1">
      <alignment horizontal="center" vertical="center" wrapText="1"/>
      <protection locked="0"/>
    </xf>
    <xf numFmtId="0" fontId="19" fillId="38" borderId="23" xfId="0" applyFont="1" applyFill="1" applyBorder="1" applyAlignment="1">
      <alignment horizontal="right"/>
    </xf>
    <xf numFmtId="0" fontId="19" fillId="38" borderId="23" xfId="0" applyFont="1" applyFill="1" applyBorder="1" applyAlignment="1">
      <alignment/>
    </xf>
    <xf numFmtId="0" fontId="19" fillId="38" borderId="23" xfId="0" applyFont="1" applyFill="1" applyBorder="1" applyAlignment="1">
      <alignment horizontal="left"/>
    </xf>
    <xf numFmtId="49" fontId="18" fillId="0" borderId="40" xfId="0" applyNumberFormat="1" applyFont="1" applyBorder="1" applyAlignment="1">
      <alignment vertical="center"/>
    </xf>
    <xf numFmtId="49" fontId="18" fillId="0" borderId="40" xfId="0" applyNumberFormat="1" applyFont="1" applyFill="1" applyBorder="1" applyAlignment="1">
      <alignment horizontal="right" vertical="center" wrapText="1"/>
    </xf>
    <xf numFmtId="0" fontId="18" fillId="0" borderId="40" xfId="0" applyFont="1" applyBorder="1" applyAlignment="1">
      <alignment vertical="center" wrapText="1"/>
    </xf>
    <xf numFmtId="1" fontId="27" fillId="27" borderId="40" xfId="0" applyNumberFormat="1" applyFont="1" applyFill="1" applyBorder="1" applyAlignment="1" applyProtection="1">
      <alignment horizontal="center" vertical="center" wrapText="1"/>
      <protection locked="0"/>
    </xf>
    <xf numFmtId="0" fontId="19" fillId="38" borderId="40" xfId="0" applyFont="1" applyFill="1" applyBorder="1" applyAlignment="1">
      <alignment horizontal="right"/>
    </xf>
    <xf numFmtId="0" fontId="19" fillId="38" borderId="40" xfId="0" applyFont="1" applyFill="1" applyBorder="1" applyAlignment="1">
      <alignment/>
    </xf>
    <xf numFmtId="0" fontId="19" fillId="38" borderId="40" xfId="0" applyFont="1" applyFill="1" applyBorder="1" applyAlignment="1">
      <alignment horizontal="left"/>
    </xf>
    <xf numFmtId="0" fontId="27" fillId="27" borderId="40" xfId="0" applyFont="1" applyFill="1" applyBorder="1" applyAlignment="1">
      <alignment horizontal="center" vertical="center" wrapText="1"/>
    </xf>
    <xf numFmtId="0" fontId="24" fillId="38" borderId="40" xfId="0" applyFont="1" applyFill="1" applyBorder="1" applyAlignment="1">
      <alignment horizontal="right"/>
    </xf>
    <xf numFmtId="0" fontId="24" fillId="38" borderId="40" xfId="0" applyFont="1" applyFill="1" applyBorder="1" applyAlignment="1">
      <alignment/>
    </xf>
    <xf numFmtId="0" fontId="24" fillId="38" borderId="40" xfId="0" applyFont="1" applyFill="1" applyBorder="1" applyAlignment="1">
      <alignment horizontal="left"/>
    </xf>
    <xf numFmtId="49" fontId="24" fillId="86" borderId="38" xfId="0" applyNumberFormat="1" applyFont="1" applyFill="1" applyBorder="1" applyAlignment="1">
      <alignment horizontal="center" vertical="center" wrapText="1"/>
    </xf>
    <xf numFmtId="0" fontId="27" fillId="27" borderId="23" xfId="0" applyFont="1" applyFill="1" applyBorder="1" applyAlignment="1">
      <alignment horizontal="center" vertical="center" wrapText="1"/>
    </xf>
    <xf numFmtId="0" fontId="24" fillId="38" borderId="23" xfId="0" applyFont="1" applyFill="1" applyBorder="1" applyAlignment="1">
      <alignment horizontal="right"/>
    </xf>
    <xf numFmtId="0" fontId="24" fillId="38" borderId="23" xfId="0" applyFont="1" applyFill="1" applyBorder="1" applyAlignment="1">
      <alignment/>
    </xf>
    <xf numFmtId="0" fontId="24" fillId="38" borderId="23" xfId="0" applyFont="1" applyFill="1" applyBorder="1" applyAlignment="1">
      <alignment horizontal="left"/>
    </xf>
    <xf numFmtId="3" fontId="24" fillId="29" borderId="15" xfId="0" applyNumberFormat="1" applyFont="1" applyFill="1" applyBorder="1" applyAlignment="1">
      <alignment horizontal="right"/>
    </xf>
    <xf numFmtId="0" fontId="18" fillId="0" borderId="40" xfId="0" applyFont="1" applyBorder="1" applyAlignment="1">
      <alignment/>
    </xf>
    <xf numFmtId="9" fontId="18" fillId="0" borderId="15" xfId="0" applyNumberFormat="1" applyFont="1" applyBorder="1" applyAlignment="1">
      <alignment/>
    </xf>
    <xf numFmtId="9" fontId="22" fillId="27" borderId="15" xfId="55" applyFont="1" applyFill="1" applyBorder="1" applyAlignment="1" applyProtection="1">
      <alignment horizontal="right" vertical="center" wrapText="1"/>
      <protection locked="0"/>
    </xf>
    <xf numFmtId="171" fontId="18" fillId="0" borderId="0" xfId="0" applyNumberFormat="1" applyFont="1" applyAlignment="1">
      <alignment/>
    </xf>
    <xf numFmtId="49" fontId="24" fillId="23" borderId="0" xfId="0" applyNumberFormat="1" applyFont="1" applyFill="1" applyBorder="1" applyAlignment="1">
      <alignment vertical="center" wrapText="1"/>
    </xf>
    <xf numFmtId="49" fontId="24" fillId="23" borderId="0" xfId="0" applyNumberFormat="1" applyFont="1" applyFill="1" applyBorder="1" applyAlignment="1">
      <alignment horizontal="right" vertical="center" wrapText="1"/>
    </xf>
    <xf numFmtId="49" fontId="24" fillId="22" borderId="0" xfId="0" applyNumberFormat="1" applyFont="1" applyFill="1" applyBorder="1" applyAlignment="1">
      <alignment horizontal="right" vertical="center" wrapText="1"/>
    </xf>
    <xf numFmtId="0" fontId="40" fillId="84" borderId="0" xfId="0" applyFont="1" applyFill="1" applyBorder="1" applyAlignment="1">
      <alignment horizontal="center" vertical="center" wrapText="1"/>
    </xf>
    <xf numFmtId="0" fontId="18" fillId="26" borderId="0" xfId="0" applyFont="1" applyFill="1" applyBorder="1" applyAlignment="1">
      <alignment horizontal="center" vertical="center" wrapText="1"/>
    </xf>
    <xf numFmtId="0" fontId="24" fillId="29" borderId="0" xfId="0" applyFont="1" applyFill="1" applyBorder="1" applyAlignment="1">
      <alignment horizontal="right" wrapText="1"/>
    </xf>
    <xf numFmtId="0" fontId="24" fillId="0" borderId="0" xfId="0" applyFont="1" applyBorder="1" applyAlignment="1">
      <alignment horizontal="left" wrapText="1"/>
    </xf>
    <xf numFmtId="43" fontId="23" fillId="88" borderId="0" xfId="47" applyNumberFormat="1" applyFont="1" applyFill="1" applyBorder="1" applyAlignment="1">
      <alignment horizontal="center" vertical="center"/>
    </xf>
    <xf numFmtId="0" fontId="18" fillId="0" borderId="40" xfId="0" applyFont="1" applyFill="1" applyBorder="1" applyAlignment="1">
      <alignment horizontal="center" vertical="center" wrapText="1"/>
    </xf>
    <xf numFmtId="0" fontId="24" fillId="0" borderId="40" xfId="0" applyFont="1" applyFill="1" applyBorder="1" applyAlignment="1">
      <alignment vertical="center" wrapText="1"/>
    </xf>
    <xf numFmtId="49" fontId="18" fillId="0" borderId="0" xfId="0" applyNumberFormat="1" applyFont="1" applyBorder="1" applyAlignment="1">
      <alignment horizontal="center" vertical="center"/>
    </xf>
    <xf numFmtId="49" fontId="18" fillId="0" borderId="0" xfId="0" applyNumberFormat="1" applyFont="1" applyFill="1" applyBorder="1" applyAlignment="1">
      <alignment horizontal="center" vertical="center" wrapText="1"/>
    </xf>
    <xf numFmtId="0" fontId="42" fillId="84" borderId="0" xfId="0" applyFont="1" applyFill="1" applyBorder="1" applyAlignment="1">
      <alignment horizontal="left" vertical="center" wrapText="1"/>
    </xf>
    <xf numFmtId="0" fontId="18" fillId="0" borderId="0" xfId="0" applyFont="1" applyBorder="1" applyAlignment="1">
      <alignment vertical="center" wrapText="1"/>
    </xf>
    <xf numFmtId="0" fontId="27" fillId="27" borderId="0" xfId="0" applyFont="1" applyFill="1" applyBorder="1" applyAlignment="1">
      <alignment horizontal="center" vertical="center"/>
    </xf>
    <xf numFmtId="0" fontId="27" fillId="27" borderId="0" xfId="0" applyFont="1" applyFill="1" applyBorder="1" applyAlignment="1">
      <alignment horizontal="center" vertical="center" wrapText="1"/>
    </xf>
    <xf numFmtId="1" fontId="27" fillId="27" borderId="0" xfId="0" applyNumberFormat="1" applyFont="1" applyFill="1" applyBorder="1" applyAlignment="1" applyProtection="1">
      <alignment horizontal="center" vertical="center" wrapText="1"/>
      <protection locked="0"/>
    </xf>
    <xf numFmtId="49" fontId="18" fillId="0" borderId="0" xfId="0" applyNumberFormat="1" applyFont="1" applyBorder="1" applyAlignment="1">
      <alignment vertical="center"/>
    </xf>
    <xf numFmtId="49" fontId="18" fillId="0" borderId="0" xfId="0" applyNumberFormat="1" applyFont="1" applyFill="1" applyBorder="1" applyAlignment="1">
      <alignment horizontal="right" vertical="center" wrapText="1"/>
    </xf>
    <xf numFmtId="49" fontId="18" fillId="0" borderId="23" xfId="0" applyNumberFormat="1" applyFont="1" applyBorder="1" applyAlignment="1">
      <alignment horizontal="center" vertical="center"/>
    </xf>
    <xf numFmtId="49" fontId="18" fillId="0" borderId="23" xfId="0" applyNumberFormat="1" applyFont="1" applyFill="1" applyBorder="1" applyAlignment="1">
      <alignment horizontal="center" vertical="center" wrapText="1"/>
    </xf>
    <xf numFmtId="0" fontId="42" fillId="84" borderId="15" xfId="0" applyFont="1" applyFill="1" applyBorder="1" applyAlignment="1">
      <alignment horizontal="left" vertical="center" wrapText="1"/>
    </xf>
    <xf numFmtId="0" fontId="24" fillId="0" borderId="19" xfId="0" applyFont="1" applyBorder="1" applyAlignment="1">
      <alignment horizontal="right" wrapText="1"/>
    </xf>
    <xf numFmtId="0" fontId="18" fillId="0" borderId="0" xfId="0" applyFont="1" applyFill="1" applyBorder="1" applyAlignment="1">
      <alignment horizontal="right" vertical="center" wrapText="1"/>
    </xf>
    <xf numFmtId="4" fontId="18" fillId="75" borderId="0" xfId="0" applyNumberFormat="1" applyFont="1" applyFill="1" applyBorder="1" applyAlignment="1">
      <alignment horizontal="right" vertical="center" wrapText="1"/>
    </xf>
    <xf numFmtId="10" fontId="22" fillId="32" borderId="28" xfId="55" applyNumberFormat="1" applyFont="1" applyFill="1" applyBorder="1" applyAlignment="1">
      <alignment horizontal="right" vertical="center"/>
    </xf>
    <xf numFmtId="0" fontId="24" fillId="29" borderId="28" xfId="0" applyFont="1" applyFill="1" applyBorder="1" applyAlignment="1">
      <alignment horizontal="left" vertical="center" wrapText="1"/>
    </xf>
    <xf numFmtId="0" fontId="18" fillId="0" borderId="15" xfId="0" applyFont="1" applyBorder="1" applyAlignment="1">
      <alignment horizontal="left" vertical="center" wrapText="1"/>
    </xf>
    <xf numFmtId="0" fontId="43" fillId="89" borderId="15" xfId="0" applyFont="1" applyFill="1" applyBorder="1" applyAlignment="1">
      <alignment vertical="center" wrapText="1"/>
    </xf>
    <xf numFmtId="0" fontId="44" fillId="89" borderId="15" xfId="0" applyFont="1" applyFill="1" applyBorder="1" applyAlignment="1">
      <alignment vertical="center" wrapText="1"/>
    </xf>
    <xf numFmtId="0" fontId="19" fillId="62" borderId="19" xfId="0" applyFont="1" applyFill="1" applyBorder="1" applyAlignment="1">
      <alignment horizontal="right"/>
    </xf>
    <xf numFmtId="9" fontId="22" fillId="62" borderId="19" xfId="55" applyFont="1" applyFill="1" applyBorder="1" applyAlignment="1">
      <alignment horizontal="right"/>
    </xf>
    <xf numFmtId="4" fontId="19" fillId="62" borderId="19" xfId="0" applyNumberFormat="1" applyFont="1" applyFill="1" applyBorder="1" applyAlignment="1">
      <alignment horizontal="right"/>
    </xf>
    <xf numFmtId="0" fontId="18" fillId="0" borderId="19" xfId="0" applyFont="1" applyFill="1" applyBorder="1" applyAlignment="1">
      <alignment horizontal="right" vertical="center" wrapText="1"/>
    </xf>
    <xf numFmtId="0" fontId="27" fillId="0" borderId="15" xfId="0" applyFont="1" applyBorder="1" applyAlignment="1">
      <alignment horizontal="left" wrapText="1"/>
    </xf>
    <xf numFmtId="0" fontId="24" fillId="29" borderId="23" xfId="0" applyFont="1" applyFill="1" applyBorder="1" applyAlignment="1">
      <alignment horizontal="left" wrapText="1"/>
    </xf>
    <xf numFmtId="0" fontId="18" fillId="0" borderId="0" xfId="0" applyFont="1" applyBorder="1" applyAlignment="1">
      <alignment horizontal="left"/>
    </xf>
    <xf numFmtId="0" fontId="24" fillId="26" borderId="19" xfId="0" applyFont="1" applyFill="1" applyBorder="1" applyAlignment="1">
      <alignment horizontal="left"/>
    </xf>
    <xf numFmtId="0" fontId="24" fillId="0" borderId="19" xfId="0" applyFont="1" applyBorder="1" applyAlignment="1">
      <alignment horizontal="left" wrapText="1"/>
    </xf>
    <xf numFmtId="10" fontId="22" fillId="30" borderId="15" xfId="55" applyNumberFormat="1" applyFont="1" applyFill="1" applyBorder="1" applyAlignment="1">
      <alignment horizontal="left"/>
    </xf>
    <xf numFmtId="0" fontId="18" fillId="26" borderId="40" xfId="0" applyFont="1" applyFill="1" applyBorder="1" applyAlignment="1">
      <alignment horizontal="left"/>
    </xf>
    <xf numFmtId="0" fontId="24" fillId="29" borderId="40" xfId="0" applyFont="1" applyFill="1" applyBorder="1" applyAlignment="1">
      <alignment horizontal="left" wrapText="1"/>
    </xf>
    <xf numFmtId="10" fontId="22" fillId="30" borderId="40" xfId="55" applyNumberFormat="1" applyFont="1" applyFill="1" applyBorder="1" applyAlignment="1">
      <alignment horizontal="left"/>
    </xf>
    <xf numFmtId="0" fontId="24" fillId="26" borderId="23" xfId="0" applyFont="1" applyFill="1" applyBorder="1" applyAlignment="1">
      <alignment horizontal="left"/>
    </xf>
    <xf numFmtId="0" fontId="18" fillId="27" borderId="15" xfId="0" applyFont="1" applyFill="1" applyBorder="1" applyAlignment="1">
      <alignment horizontal="left" wrapText="1"/>
    </xf>
    <xf numFmtId="0" fontId="18" fillId="0" borderId="15" xfId="0" applyFont="1" applyFill="1" applyBorder="1" applyAlignment="1">
      <alignment horizontal="left"/>
    </xf>
    <xf numFmtId="10" fontId="22" fillId="32" borderId="15" xfId="55" applyNumberFormat="1" applyFont="1" applyFill="1" applyBorder="1" applyAlignment="1">
      <alignment horizontal="left"/>
    </xf>
    <xf numFmtId="3" fontId="22" fillId="0" borderId="15" xfId="0" applyNumberFormat="1" applyFont="1" applyFill="1" applyBorder="1" applyAlignment="1" applyProtection="1">
      <alignment horizontal="left" wrapText="1"/>
      <protection locked="0"/>
    </xf>
    <xf numFmtId="3" fontId="24" fillId="26" borderId="15" xfId="0" applyNumberFormat="1" applyFont="1" applyFill="1" applyBorder="1" applyAlignment="1">
      <alignment horizontal="left" wrapText="1"/>
    </xf>
    <xf numFmtId="0" fontId="18" fillId="0" borderId="28" xfId="0" applyFont="1" applyBorder="1" applyAlignment="1">
      <alignment horizontal="left"/>
    </xf>
    <xf numFmtId="0" fontId="18" fillId="0" borderId="19" xfId="0" applyFont="1" applyFill="1" applyBorder="1" applyAlignment="1">
      <alignment horizontal="left"/>
    </xf>
    <xf numFmtId="10" fontId="22" fillId="30" borderId="19" xfId="55" applyNumberFormat="1" applyFont="1" applyFill="1" applyBorder="1" applyAlignment="1">
      <alignment horizontal="left"/>
    </xf>
    <xf numFmtId="49" fontId="18" fillId="27" borderId="15" xfId="0" applyNumberFormat="1" applyFont="1" applyFill="1" applyBorder="1" applyAlignment="1">
      <alignment vertical="center"/>
    </xf>
    <xf numFmtId="49" fontId="18" fillId="27" borderId="15" xfId="0" applyNumberFormat="1" applyFont="1" applyFill="1" applyBorder="1" applyAlignment="1">
      <alignment horizontal="right" vertical="center" wrapText="1"/>
    </xf>
    <xf numFmtId="43" fontId="22" fillId="26" borderId="26" xfId="47" applyNumberFormat="1" applyFont="1" applyFill="1" applyBorder="1" applyAlignment="1">
      <alignment horizontal="center" vertical="center"/>
    </xf>
    <xf numFmtId="9" fontId="22" fillId="26" borderId="15" xfId="55" applyFont="1" applyFill="1" applyBorder="1" applyAlignment="1" applyProtection="1">
      <alignment horizontal="right" vertical="center" wrapText="1"/>
      <protection locked="0"/>
    </xf>
    <xf numFmtId="10" fontId="22" fillId="26" borderId="15" xfId="55" applyNumberFormat="1" applyFont="1" applyFill="1" applyBorder="1" applyAlignment="1">
      <alignment horizontal="right"/>
    </xf>
    <xf numFmtId="4" fontId="22" fillId="26" borderId="15" xfId="55" applyNumberFormat="1" applyFont="1" applyFill="1" applyBorder="1" applyAlignment="1">
      <alignment horizontal="right"/>
    </xf>
    <xf numFmtId="10" fontId="22" fillId="26" borderId="15" xfId="55" applyNumberFormat="1" applyFont="1" applyFill="1" applyBorder="1" applyAlignment="1">
      <alignment horizontal="center" vertical="center"/>
    </xf>
    <xf numFmtId="10" fontId="23" fillId="26" borderId="15" xfId="55" applyNumberFormat="1" applyFont="1" applyFill="1" applyBorder="1" applyAlignment="1">
      <alignment horizontal="center" vertical="center"/>
    </xf>
    <xf numFmtId="43" fontId="65" fillId="29" borderId="15" xfId="47" applyFont="1" applyFill="1" applyBorder="1" applyAlignment="1">
      <alignment horizontal="right"/>
    </xf>
    <xf numFmtId="10" fontId="1" fillId="52" borderId="15" xfId="55" applyNumberFormat="1" applyFont="1" applyFill="1" applyBorder="1" applyAlignment="1" applyProtection="1">
      <alignment horizontal="right" vertical="center" wrapText="1"/>
      <protection locked="0"/>
    </xf>
    <xf numFmtId="0" fontId="24" fillId="26" borderId="15" xfId="0" applyFont="1" applyFill="1" applyBorder="1" applyAlignment="1">
      <alignment vertical="center" wrapText="1"/>
    </xf>
    <xf numFmtId="10" fontId="22" fillId="30" borderId="0" xfId="55" applyNumberFormat="1" applyFont="1" applyFill="1" applyBorder="1" applyAlignment="1">
      <alignment horizontal="left"/>
    </xf>
    <xf numFmtId="0" fontId="18" fillId="29" borderId="15" xfId="0" applyFont="1" applyFill="1" applyBorder="1" applyAlignment="1">
      <alignment/>
    </xf>
    <xf numFmtId="0" fontId="18" fillId="0" borderId="15" xfId="0" applyFont="1" applyFill="1" applyBorder="1" applyAlignment="1">
      <alignment wrapText="1"/>
    </xf>
    <xf numFmtId="0" fontId="24" fillId="29" borderId="15" xfId="0" applyFont="1" applyFill="1" applyBorder="1" applyAlignment="1">
      <alignment/>
    </xf>
    <xf numFmtId="0" fontId="24" fillId="26" borderId="15" xfId="0" applyFont="1" applyFill="1" applyBorder="1" applyAlignment="1">
      <alignment/>
    </xf>
    <xf numFmtId="4" fontId="22" fillId="26" borderId="15" xfId="53" applyNumberFormat="1" applyFont="1" applyFill="1" applyBorder="1" applyAlignment="1" applyProtection="1">
      <alignment wrapText="1"/>
      <protection locked="0"/>
    </xf>
    <xf numFmtId="4" fontId="24" fillId="29" borderId="15" xfId="0" applyNumberFormat="1" applyFont="1" applyFill="1" applyBorder="1" applyAlignment="1">
      <alignment/>
    </xf>
    <xf numFmtId="2" fontId="24" fillId="0" borderId="15" xfId="0" applyNumberFormat="1" applyFont="1" applyFill="1" applyBorder="1" applyAlignment="1">
      <alignment/>
    </xf>
    <xf numFmtId="4" fontId="24" fillId="0" borderId="15" xfId="0" applyNumberFormat="1" applyFont="1" applyFill="1" applyBorder="1" applyAlignment="1">
      <alignment/>
    </xf>
    <xf numFmtId="0" fontId="24" fillId="29" borderId="15" xfId="0" applyFont="1" applyFill="1" applyBorder="1" applyAlignment="1">
      <alignment wrapText="1"/>
    </xf>
    <xf numFmtId="1" fontId="18" fillId="0" borderId="15" xfId="0" applyNumberFormat="1" applyFont="1" applyFill="1" applyBorder="1" applyAlignment="1">
      <alignment wrapText="1"/>
    </xf>
    <xf numFmtId="43" fontId="22" fillId="26" borderId="15" xfId="47" applyNumberFormat="1" applyFont="1" applyFill="1" applyBorder="1" applyAlignment="1">
      <alignment/>
    </xf>
    <xf numFmtId="4" fontId="24" fillId="27" borderId="15" xfId="0" applyNumberFormat="1" applyFont="1" applyFill="1" applyBorder="1" applyAlignment="1">
      <alignment/>
    </xf>
    <xf numFmtId="0" fontId="18" fillId="26" borderId="23" xfId="0" applyFont="1" applyFill="1" applyBorder="1" applyAlignment="1">
      <alignment horizontal="center" vertical="center" wrapText="1"/>
    </xf>
    <xf numFmtId="0" fontId="24" fillId="87" borderId="25" xfId="0" applyFont="1" applyFill="1" applyBorder="1" applyAlignment="1">
      <alignment horizontal="center" wrapText="1"/>
    </xf>
    <xf numFmtId="4" fontId="18" fillId="0" borderId="19" xfId="0" applyNumberFormat="1" applyFont="1" applyFill="1" applyBorder="1" applyAlignment="1">
      <alignment horizontal="right" wrapText="1"/>
    </xf>
    <xf numFmtId="4" fontId="18" fillId="29" borderId="15" xfId="0" applyNumberFormat="1" applyFont="1" applyFill="1" applyBorder="1" applyAlignment="1">
      <alignment horizontal="center"/>
    </xf>
    <xf numFmtId="4" fontId="18" fillId="29" borderId="0" xfId="0" applyNumberFormat="1" applyFont="1" applyFill="1" applyBorder="1" applyAlignment="1">
      <alignment horizontal="center"/>
    </xf>
    <xf numFmtId="4" fontId="18" fillId="29" borderId="40" xfId="0" applyNumberFormat="1" applyFont="1" applyFill="1" applyBorder="1" applyAlignment="1">
      <alignment horizontal="center"/>
    </xf>
    <xf numFmtId="49" fontId="24" fillId="86" borderId="38" xfId="0" applyNumberFormat="1" applyFont="1" applyFill="1" applyBorder="1" applyAlignment="1">
      <alignment horizontal="center" wrapText="1"/>
    </xf>
    <xf numFmtId="4" fontId="18" fillId="0" borderId="15" xfId="0" applyNumberFormat="1" applyFont="1" applyFill="1" applyBorder="1" applyAlignment="1">
      <alignment horizontal="right" wrapText="1"/>
    </xf>
    <xf numFmtId="0" fontId="18" fillId="0" borderId="0" xfId="0" applyFont="1" applyFill="1" applyBorder="1" applyAlignment="1">
      <alignment horizontal="right" wrapText="1"/>
    </xf>
    <xf numFmtId="4" fontId="18" fillId="29" borderId="40" xfId="0" applyNumberFormat="1" applyFont="1" applyFill="1" applyBorder="1" applyAlignment="1">
      <alignment horizontal="right"/>
    </xf>
    <xf numFmtId="4" fontId="22" fillId="26" borderId="19" xfId="53" applyNumberFormat="1" applyFont="1" applyFill="1" applyBorder="1" applyAlignment="1" applyProtection="1">
      <alignment horizontal="right" wrapText="1"/>
      <protection locked="0"/>
    </xf>
    <xf numFmtId="4" fontId="22" fillId="26" borderId="40" xfId="53" applyNumberFormat="1" applyFont="1" applyFill="1" applyBorder="1" applyAlignment="1" applyProtection="1">
      <alignment horizontal="right" wrapText="1"/>
      <protection locked="0"/>
    </xf>
    <xf numFmtId="4" fontId="22" fillId="26" borderId="23" xfId="53" applyNumberFormat="1" applyFont="1" applyFill="1" applyBorder="1" applyAlignment="1" applyProtection="1">
      <alignment horizontal="right" wrapText="1"/>
      <protection locked="0"/>
    </xf>
    <xf numFmtId="0" fontId="19" fillId="38" borderId="25" xfId="0" applyFont="1" applyFill="1" applyBorder="1" applyAlignment="1">
      <alignment/>
    </xf>
    <xf numFmtId="43" fontId="23" fillId="88" borderId="0" xfId="47" applyNumberFormat="1" applyFont="1" applyFill="1" applyBorder="1" applyAlignment="1">
      <alignment vertical="center"/>
    </xf>
    <xf numFmtId="0" fontId="24" fillId="87" borderId="25" xfId="0" applyFont="1" applyFill="1" applyBorder="1" applyAlignment="1">
      <alignment vertical="center" wrapText="1"/>
    </xf>
    <xf numFmtId="0" fontId="19" fillId="38" borderId="32" xfId="0" applyFont="1" applyFill="1" applyBorder="1" applyAlignment="1">
      <alignment/>
    </xf>
    <xf numFmtId="43" fontId="23" fillId="88" borderId="39" xfId="47" applyNumberFormat="1" applyFont="1" applyFill="1" applyBorder="1" applyAlignment="1">
      <alignment vertical="center"/>
    </xf>
    <xf numFmtId="49" fontId="24" fillId="86" borderId="38" xfId="0" applyNumberFormat="1" applyFont="1" applyFill="1" applyBorder="1" applyAlignment="1">
      <alignment vertical="center" wrapText="1"/>
    </xf>
    <xf numFmtId="0" fontId="19" fillId="38" borderId="36" xfId="0" applyFont="1" applyFill="1" applyBorder="1" applyAlignment="1">
      <alignment horizontal="right"/>
    </xf>
    <xf numFmtId="0" fontId="19" fillId="38" borderId="36" xfId="0" applyFont="1" applyFill="1" applyBorder="1" applyAlignment="1">
      <alignment/>
    </xf>
    <xf numFmtId="0" fontId="21" fillId="0" borderId="15" xfId="0" applyFont="1" applyBorder="1" applyAlignment="1">
      <alignment wrapText="1"/>
    </xf>
    <xf numFmtId="0" fontId="19" fillId="38" borderId="37" xfId="0" applyFont="1" applyFill="1" applyBorder="1" applyAlignment="1">
      <alignment horizontal="right"/>
    </xf>
    <xf numFmtId="0" fontId="24" fillId="27" borderId="40" xfId="0" applyFont="1" applyFill="1" applyBorder="1" applyAlignment="1">
      <alignment horizontal="right"/>
    </xf>
    <xf numFmtId="4" fontId="18" fillId="29" borderId="41" xfId="0" applyNumberFormat="1" applyFont="1" applyFill="1" applyBorder="1" applyAlignment="1">
      <alignment horizontal="right"/>
    </xf>
    <xf numFmtId="0" fontId="24" fillId="0" borderId="40" xfId="0" applyFont="1" applyBorder="1" applyAlignment="1">
      <alignment horizontal="left" wrapText="1"/>
    </xf>
    <xf numFmtId="0" fontId="24" fillId="29" borderId="28" xfId="0" applyFont="1" applyFill="1" applyBorder="1" applyAlignment="1">
      <alignment vertical="center" wrapText="1"/>
    </xf>
    <xf numFmtId="0" fontId="24" fillId="27" borderId="28" xfId="0" applyFont="1" applyFill="1" applyBorder="1" applyAlignment="1">
      <alignment vertical="center" wrapText="1"/>
    </xf>
    <xf numFmtId="0" fontId="24" fillId="26" borderId="28" xfId="0" applyFont="1" applyFill="1" applyBorder="1" applyAlignment="1">
      <alignment horizontal="left"/>
    </xf>
    <xf numFmtId="4" fontId="24" fillId="29" borderId="28" xfId="0" applyNumberFormat="1" applyFont="1" applyFill="1" applyBorder="1" applyAlignment="1">
      <alignment/>
    </xf>
    <xf numFmtId="0" fontId="24" fillId="0" borderId="28" xfId="0" applyFont="1" applyBorder="1" applyAlignment="1">
      <alignment horizontal="left" wrapText="1"/>
    </xf>
    <xf numFmtId="4" fontId="24" fillId="29" borderId="28" xfId="0" applyNumberFormat="1" applyFont="1" applyFill="1" applyBorder="1" applyAlignment="1">
      <alignment horizontal="right"/>
    </xf>
    <xf numFmtId="4" fontId="22" fillId="26" borderId="28" xfId="53" applyNumberFormat="1" applyFont="1" applyFill="1" applyBorder="1" applyAlignment="1" applyProtection="1">
      <alignment horizontal="right" wrapText="1"/>
      <protection locked="0"/>
    </xf>
    <xf numFmtId="0" fontId="24" fillId="27" borderId="40" xfId="0" applyFont="1" applyFill="1" applyBorder="1" applyAlignment="1">
      <alignment vertical="center" wrapText="1"/>
    </xf>
    <xf numFmtId="0" fontId="24" fillId="26" borderId="40" xfId="0" applyFont="1" applyFill="1" applyBorder="1" applyAlignment="1">
      <alignment horizontal="left"/>
    </xf>
    <xf numFmtId="0" fontId="18" fillId="0" borderId="40" xfId="0" applyFont="1" applyFill="1" applyBorder="1" applyAlignment="1">
      <alignment horizontal="left"/>
    </xf>
    <xf numFmtId="49" fontId="45" fillId="24" borderId="0" xfId="0" applyNumberFormat="1" applyFont="1" applyFill="1" applyBorder="1" applyAlignment="1">
      <alignment vertical="center"/>
    </xf>
    <xf numFmtId="0" fontId="47" fillId="90" borderId="35" xfId="0" applyFont="1" applyFill="1" applyBorder="1" applyAlignment="1" applyProtection="1">
      <alignment wrapText="1"/>
      <protection/>
    </xf>
    <xf numFmtId="49" fontId="19" fillId="6" borderId="0" xfId="0" applyNumberFormat="1" applyFont="1" applyFill="1" applyBorder="1" applyAlignment="1">
      <alignment vertical="center"/>
    </xf>
    <xf numFmtId="49" fontId="18" fillId="6" borderId="32" xfId="0" applyNumberFormat="1" applyFont="1" applyFill="1" applyBorder="1" applyAlignment="1">
      <alignment vertical="center"/>
    </xf>
    <xf numFmtId="49" fontId="18" fillId="0" borderId="36" xfId="0" applyNumberFormat="1" applyFont="1" applyBorder="1" applyAlignment="1">
      <alignment horizontal="right" vertical="center"/>
    </xf>
    <xf numFmtId="0" fontId="18" fillId="0" borderId="37" xfId="0" applyFont="1" applyBorder="1" applyAlignment="1">
      <alignment/>
    </xf>
    <xf numFmtId="49" fontId="18" fillId="0" borderId="38" xfId="0" applyNumberFormat="1" applyFont="1" applyBorder="1" applyAlignment="1">
      <alignment vertical="center"/>
    </xf>
    <xf numFmtId="49" fontId="18" fillId="0" borderId="32" xfId="0" applyNumberFormat="1" applyFont="1" applyBorder="1" applyAlignment="1">
      <alignment horizontal="right" vertical="center"/>
    </xf>
    <xf numFmtId="0" fontId="18" fillId="0" borderId="39" xfId="0" applyFont="1" applyBorder="1" applyAlignment="1">
      <alignment/>
    </xf>
    <xf numFmtId="0" fontId="25" fillId="0" borderId="0" xfId="0" applyFont="1" applyFill="1" applyBorder="1" applyAlignment="1">
      <alignment horizontal="right" vertical="center" wrapText="1"/>
    </xf>
    <xf numFmtId="4" fontId="24" fillId="29" borderId="19" xfId="0" applyNumberFormat="1" applyFont="1" applyFill="1" applyBorder="1" applyAlignment="1">
      <alignment horizontal="right"/>
    </xf>
    <xf numFmtId="0" fontId="41" fillId="0" borderId="15" xfId="0" applyFont="1" applyBorder="1" applyAlignment="1">
      <alignment vertical="center" wrapText="1"/>
    </xf>
    <xf numFmtId="43" fontId="23" fillId="91" borderId="42" xfId="47" applyNumberFormat="1" applyFont="1" applyFill="1" applyBorder="1" applyAlignment="1">
      <alignment/>
    </xf>
    <xf numFmtId="9" fontId="23" fillId="91" borderId="43" xfId="55" applyFont="1" applyFill="1" applyBorder="1" applyAlignment="1" applyProtection="1">
      <alignment horizontal="right" vertical="center" wrapText="1"/>
      <protection locked="0"/>
    </xf>
    <xf numFmtId="10" fontId="23" fillId="79" borderId="43" xfId="55" applyNumberFormat="1" applyFont="1" applyFill="1" applyBorder="1" applyAlignment="1">
      <alignment horizontal="right"/>
    </xf>
    <xf numFmtId="4" fontId="19" fillId="91" borderId="43" xfId="0" applyNumberFormat="1" applyFont="1" applyFill="1" applyBorder="1" applyAlignment="1">
      <alignment horizontal="right"/>
    </xf>
    <xf numFmtId="0" fontId="19" fillId="91" borderId="43" xfId="0" applyFont="1" applyFill="1" applyBorder="1" applyAlignment="1">
      <alignment horizontal="right" vertical="center" wrapText="1"/>
    </xf>
    <xf numFmtId="0" fontId="18" fillId="0" borderId="15" xfId="0" applyFont="1" applyFill="1" applyBorder="1" applyAlignment="1">
      <alignment/>
    </xf>
    <xf numFmtId="0" fontId="18" fillId="0" borderId="44" xfId="0" applyFont="1" applyBorder="1" applyAlignment="1">
      <alignment/>
    </xf>
    <xf numFmtId="0" fontId="18" fillId="0" borderId="32" xfId="0" applyFont="1" applyBorder="1" applyAlignment="1">
      <alignment/>
    </xf>
    <xf numFmtId="9" fontId="22" fillId="33" borderId="0" xfId="55" applyFont="1" applyFill="1" applyBorder="1" applyAlignment="1" applyProtection="1">
      <alignment vertical="center" wrapText="1"/>
      <protection locked="0"/>
    </xf>
    <xf numFmtId="10" fontId="22" fillId="33" borderId="0" xfId="55" applyNumberFormat="1" applyFont="1" applyFill="1" applyBorder="1" applyAlignment="1">
      <alignment vertical="center"/>
    </xf>
    <xf numFmtId="0" fontId="18" fillId="27" borderId="0" xfId="0" applyFont="1" applyFill="1" applyBorder="1" applyAlignment="1">
      <alignment vertical="center" wrapText="1"/>
    </xf>
    <xf numFmtId="171" fontId="18" fillId="0" borderId="0" xfId="0" applyNumberFormat="1" applyFont="1" applyAlignment="1">
      <alignment/>
    </xf>
    <xf numFmtId="4" fontId="25" fillId="0" borderId="0" xfId="0" applyNumberFormat="1" applyFont="1" applyFill="1" applyBorder="1" applyAlignment="1">
      <alignment wrapText="1"/>
    </xf>
    <xf numFmtId="17" fontId="18" fillId="0" borderId="0" xfId="0" applyNumberFormat="1" applyFont="1" applyFill="1" applyBorder="1" applyAlignment="1">
      <alignment horizontal="center" vertical="center" wrapText="1"/>
    </xf>
    <xf numFmtId="0" fontId="21" fillId="0" borderId="15" xfId="0" applyFont="1" applyBorder="1" applyAlignment="1">
      <alignment horizontal="right" wrapText="1"/>
    </xf>
    <xf numFmtId="1" fontId="22" fillId="33" borderId="15" xfId="55" applyNumberFormat="1" applyFont="1" applyFill="1" applyBorder="1" applyAlignment="1">
      <alignment horizontal="right"/>
    </xf>
    <xf numFmtId="0" fontId="24" fillId="92" borderId="15" xfId="0" applyFont="1" applyFill="1" applyBorder="1" applyAlignment="1">
      <alignment horizontal="right"/>
    </xf>
    <xf numFmtId="0" fontId="18" fillId="0" borderId="19" xfId="0" applyFont="1" applyFill="1" applyBorder="1" applyAlignment="1">
      <alignment/>
    </xf>
    <xf numFmtId="0" fontId="18" fillId="0" borderId="23" xfId="0" applyFont="1" applyFill="1" applyBorder="1" applyAlignment="1">
      <alignment/>
    </xf>
    <xf numFmtId="43" fontId="19" fillId="38" borderId="36" xfId="0" applyNumberFormat="1" applyFont="1" applyFill="1" applyBorder="1" applyAlignment="1">
      <alignment horizontal="right"/>
    </xf>
    <xf numFmtId="43" fontId="22" fillId="33" borderId="0" xfId="55" applyNumberFormat="1" applyFont="1" applyFill="1" applyBorder="1" applyAlignment="1">
      <alignment horizontal="right"/>
    </xf>
    <xf numFmtId="43" fontId="24" fillId="87" borderId="25" xfId="0" applyNumberFormat="1" applyFont="1" applyFill="1" applyBorder="1" applyAlignment="1">
      <alignment horizontal="center" vertical="center" wrapText="1"/>
    </xf>
    <xf numFmtId="43" fontId="19" fillId="38" borderId="32" xfId="0" applyNumberFormat="1" applyFont="1" applyFill="1" applyBorder="1" applyAlignment="1">
      <alignment horizontal="right"/>
    </xf>
    <xf numFmtId="43" fontId="19" fillId="38" borderId="0" xfId="0" applyNumberFormat="1" applyFont="1" applyFill="1" applyBorder="1" applyAlignment="1">
      <alignment horizontal="right"/>
    </xf>
    <xf numFmtId="43" fontId="24" fillId="92" borderId="15" xfId="0" applyNumberFormat="1" applyFont="1" applyFill="1" applyBorder="1" applyAlignment="1">
      <alignment horizontal="right"/>
    </xf>
    <xf numFmtId="43" fontId="22" fillId="34" borderId="0" xfId="55" applyNumberFormat="1" applyFont="1" applyFill="1" applyBorder="1" applyAlignment="1">
      <alignment vertical="center"/>
    </xf>
    <xf numFmtId="43" fontId="24" fillId="27" borderId="15" xfId="0" applyNumberFormat="1" applyFont="1" applyFill="1" applyBorder="1" applyAlignment="1">
      <alignment horizontal="right"/>
    </xf>
    <xf numFmtId="43" fontId="19" fillId="38" borderId="25" xfId="0" applyNumberFormat="1" applyFont="1" applyFill="1" applyBorder="1" applyAlignment="1">
      <alignment horizontal="right"/>
    </xf>
    <xf numFmtId="43" fontId="24" fillId="86" borderId="38" xfId="0" applyNumberFormat="1" applyFont="1" applyFill="1" applyBorder="1" applyAlignment="1">
      <alignment horizontal="center" vertical="center" wrapText="1"/>
    </xf>
    <xf numFmtId="43" fontId="19" fillId="62" borderId="19" xfId="0" applyNumberFormat="1" applyFont="1" applyFill="1" applyBorder="1" applyAlignment="1">
      <alignment horizontal="right"/>
    </xf>
    <xf numFmtId="43" fontId="23" fillId="91" borderId="43" xfId="55" applyNumberFormat="1" applyFont="1" applyFill="1" applyBorder="1" applyAlignment="1" applyProtection="1">
      <alignment horizontal="right" vertical="center" wrapText="1"/>
      <protection locked="0"/>
    </xf>
    <xf numFmtId="43" fontId="18" fillId="0" borderId="0" xfId="0" applyNumberFormat="1" applyFont="1" applyFill="1" applyBorder="1" applyAlignment="1">
      <alignment horizontal="right" vertical="center" wrapText="1"/>
    </xf>
    <xf numFmtId="2" fontId="24" fillId="92" borderId="40" xfId="0" applyNumberFormat="1" applyFont="1" applyFill="1" applyBorder="1" applyAlignment="1">
      <alignment horizontal="right"/>
    </xf>
    <xf numFmtId="43" fontId="1" fillId="0" borderId="0" xfId="47" applyAlignment="1">
      <alignment horizontal="right"/>
    </xf>
    <xf numFmtId="43" fontId="1" fillId="39" borderId="19" xfId="47" applyFill="1" applyBorder="1" applyAlignment="1">
      <alignment horizontal="right" vertical="top" textRotation="90" wrapText="1"/>
    </xf>
    <xf numFmtId="43" fontId="1" fillId="38" borderId="25" xfId="47" applyFill="1" applyBorder="1" applyAlignment="1">
      <alignment horizontal="right"/>
    </xf>
    <xf numFmtId="43" fontId="1" fillId="38" borderId="0" xfId="47" applyFill="1" applyBorder="1" applyAlignment="1">
      <alignment horizontal="right"/>
    </xf>
    <xf numFmtId="43" fontId="1" fillId="0" borderId="15" xfId="47" applyFill="1" applyBorder="1" applyAlignment="1">
      <alignment horizontal="right"/>
    </xf>
    <xf numFmtId="43" fontId="1" fillId="0" borderId="15" xfId="47" applyFill="1" applyBorder="1" applyAlignment="1">
      <alignment/>
    </xf>
    <xf numFmtId="43" fontId="1" fillId="0" borderId="0" xfId="47" applyFill="1" applyBorder="1" applyAlignment="1">
      <alignment horizontal="right"/>
    </xf>
    <xf numFmtId="43" fontId="1" fillId="87" borderId="25" xfId="47" applyFill="1" applyBorder="1" applyAlignment="1">
      <alignment horizontal="center" vertical="center" wrapText="1"/>
    </xf>
    <xf numFmtId="43" fontId="1" fillId="0" borderId="15" xfId="47" applyFill="1" applyBorder="1" applyAlignment="1">
      <alignment horizontal="left"/>
    </xf>
    <xf numFmtId="43" fontId="1" fillId="0" borderId="23" xfId="47" applyFill="1" applyBorder="1" applyAlignment="1">
      <alignment horizontal="left"/>
    </xf>
    <xf numFmtId="43" fontId="1" fillId="0" borderId="15" xfId="47" applyBorder="1" applyAlignment="1">
      <alignment horizontal="left"/>
    </xf>
    <xf numFmtId="43" fontId="1" fillId="0" borderId="19" xfId="47" applyFill="1" applyBorder="1" applyAlignment="1">
      <alignment horizontal="left"/>
    </xf>
    <xf numFmtId="43" fontId="1" fillId="38" borderId="32" xfId="47" applyFill="1" applyBorder="1" applyAlignment="1">
      <alignment horizontal="right"/>
    </xf>
    <xf numFmtId="43" fontId="1" fillId="38" borderId="15" xfId="47" applyFill="1" applyBorder="1" applyAlignment="1">
      <alignment horizontal="right"/>
    </xf>
    <xf numFmtId="43" fontId="1" fillId="38" borderId="40" xfId="47" applyFill="1" applyBorder="1" applyAlignment="1">
      <alignment horizontal="right"/>
    </xf>
    <xf numFmtId="43" fontId="1" fillId="38" borderId="23" xfId="47" applyFill="1" applyBorder="1" applyAlignment="1">
      <alignment horizontal="right"/>
    </xf>
    <xf numFmtId="43" fontId="1" fillId="86" borderId="38" xfId="47" applyFill="1" applyBorder="1" applyAlignment="1">
      <alignment horizontal="center" vertical="center" wrapText="1"/>
    </xf>
    <xf numFmtId="43" fontId="1" fillId="62" borderId="15" xfId="47" applyFill="1" applyBorder="1" applyAlignment="1">
      <alignment horizontal="right"/>
    </xf>
    <xf numFmtId="43" fontId="1" fillId="0" borderId="0" xfId="47" applyFill="1" applyBorder="1" applyAlignment="1">
      <alignment horizontal="right" vertical="center" wrapText="1"/>
    </xf>
    <xf numFmtId="43" fontId="1" fillId="27" borderId="23" xfId="47" applyFill="1" applyBorder="1" applyAlignment="1">
      <alignment horizontal="left"/>
    </xf>
    <xf numFmtId="0" fontId="18" fillId="24" borderId="0" xfId="0" applyFont="1" applyFill="1" applyBorder="1" applyAlignment="1">
      <alignment/>
    </xf>
    <xf numFmtId="0" fontId="18" fillId="6" borderId="36" xfId="0" applyFont="1" applyFill="1" applyBorder="1" applyAlignment="1">
      <alignment/>
    </xf>
    <xf numFmtId="0" fontId="18" fillId="6" borderId="37" xfId="0" applyFont="1" applyFill="1" applyBorder="1" applyAlignment="1">
      <alignment/>
    </xf>
    <xf numFmtId="0" fontId="26" fillId="6" borderId="0" xfId="0" applyFont="1" applyFill="1" applyBorder="1" applyAlignment="1">
      <alignment/>
    </xf>
    <xf numFmtId="0" fontId="18" fillId="6" borderId="45" xfId="0" applyFont="1" applyFill="1" applyBorder="1" applyAlignment="1">
      <alignment/>
    </xf>
    <xf numFmtId="0" fontId="18" fillId="24" borderId="0" xfId="0" applyFont="1" applyFill="1" applyAlignment="1">
      <alignment/>
    </xf>
    <xf numFmtId="0" fontId="18" fillId="29" borderId="40" xfId="0" applyFont="1" applyFill="1" applyBorder="1" applyAlignment="1">
      <alignment/>
    </xf>
    <xf numFmtId="0" fontId="18" fillId="29" borderId="40" xfId="0" applyFont="1" applyFill="1" applyBorder="1" applyAlignment="1">
      <alignment vertical="center"/>
    </xf>
    <xf numFmtId="0" fontId="18" fillId="29" borderId="23" xfId="0" applyFont="1" applyFill="1" applyBorder="1" applyAlignment="1">
      <alignment vertical="center"/>
    </xf>
    <xf numFmtId="0" fontId="18" fillId="29" borderId="28" xfId="0" applyFont="1" applyFill="1" applyBorder="1" applyAlignment="1">
      <alignment/>
    </xf>
    <xf numFmtId="1" fontId="18" fillId="27" borderId="15" xfId="0" applyNumberFormat="1" applyFont="1" applyFill="1" applyBorder="1" applyAlignment="1">
      <alignment wrapText="1"/>
    </xf>
    <xf numFmtId="0" fontId="18" fillId="29" borderId="0" xfId="0" applyFont="1" applyFill="1" applyBorder="1" applyAlignment="1">
      <alignment vertical="center"/>
    </xf>
    <xf numFmtId="3" fontId="18" fillId="29" borderId="15" xfId="0" applyNumberFormat="1" applyFont="1" applyFill="1" applyBorder="1" applyAlignment="1">
      <alignment vertical="center"/>
    </xf>
    <xf numFmtId="0" fontId="19" fillId="62" borderId="19" xfId="0" applyFont="1" applyFill="1" applyBorder="1" applyAlignment="1">
      <alignment/>
    </xf>
    <xf numFmtId="9" fontId="18" fillId="0" borderId="15" xfId="0" applyNumberFormat="1" applyFont="1" applyFill="1" applyBorder="1" applyAlignment="1">
      <alignment vertical="center" wrapText="1"/>
    </xf>
    <xf numFmtId="0" fontId="18" fillId="0" borderId="19" xfId="0" applyFont="1" applyFill="1" applyBorder="1" applyAlignment="1">
      <alignment vertical="center" wrapText="1"/>
    </xf>
    <xf numFmtId="0" fontId="24" fillId="0" borderId="0" xfId="0" applyFont="1" applyFill="1" applyBorder="1" applyAlignment="1">
      <alignment/>
    </xf>
    <xf numFmtId="0" fontId="25" fillId="0" borderId="0" xfId="0" applyFont="1" applyBorder="1" applyAlignment="1">
      <alignment vertical="center"/>
    </xf>
    <xf numFmtId="0" fontId="18" fillId="0" borderId="0" xfId="0" applyFont="1" applyAlignment="1">
      <alignment vertical="center" wrapText="1"/>
    </xf>
    <xf numFmtId="9" fontId="24" fillId="27" borderId="40" xfId="0" applyNumberFormat="1" applyFont="1" applyFill="1" applyBorder="1" applyAlignment="1">
      <alignment horizontal="right"/>
    </xf>
    <xf numFmtId="10" fontId="1" fillId="0" borderId="15" xfId="55" applyNumberFormat="1" applyFont="1" applyFill="1" applyBorder="1" applyAlignment="1">
      <alignment/>
    </xf>
    <xf numFmtId="0" fontId="19" fillId="41" borderId="24" xfId="0" applyFont="1" applyFill="1" applyBorder="1" applyAlignment="1">
      <alignment horizontal="right" vertical="center" wrapText="1"/>
    </xf>
    <xf numFmtId="0" fontId="19" fillId="41" borderId="46" xfId="0" applyFont="1" applyFill="1" applyBorder="1" applyAlignment="1">
      <alignment horizontal="right" vertical="center" wrapText="1"/>
    </xf>
    <xf numFmtId="10" fontId="22" fillId="26" borderId="15" xfId="55" applyNumberFormat="1" applyFont="1" applyFill="1" applyBorder="1" applyAlignment="1">
      <alignment horizontal="left"/>
    </xf>
    <xf numFmtId="10" fontId="22" fillId="26" borderId="40" xfId="55" applyNumberFormat="1" applyFont="1" applyFill="1" applyBorder="1" applyAlignment="1">
      <alignment horizontal="left"/>
    </xf>
    <xf numFmtId="9" fontId="22" fillId="26" borderId="15" xfId="55" applyFont="1" applyFill="1" applyBorder="1" applyAlignment="1">
      <alignment horizontal="right"/>
    </xf>
    <xf numFmtId="1" fontId="22" fillId="26" borderId="15" xfId="55" applyNumberFormat="1" applyFont="1" applyFill="1" applyBorder="1" applyAlignment="1">
      <alignment horizontal="right"/>
    </xf>
    <xf numFmtId="9" fontId="24" fillId="27" borderId="15" xfId="0" applyNumberFormat="1" applyFont="1" applyFill="1" applyBorder="1" applyAlignment="1">
      <alignment horizontal="right"/>
    </xf>
    <xf numFmtId="0" fontId="24" fillId="87" borderId="32" xfId="0" applyFont="1" applyFill="1" applyBorder="1" applyAlignment="1">
      <alignment horizontal="center" vertical="center" wrapText="1"/>
    </xf>
    <xf numFmtId="43" fontId="24" fillId="87" borderId="32" xfId="0" applyNumberFormat="1" applyFont="1" applyFill="1" applyBorder="1" applyAlignment="1">
      <alignment horizontal="center" vertical="center" wrapText="1"/>
    </xf>
    <xf numFmtId="43" fontId="23" fillId="91" borderId="47" xfId="47" applyNumberFormat="1" applyFont="1" applyFill="1" applyBorder="1" applyAlignment="1">
      <alignment/>
    </xf>
    <xf numFmtId="10" fontId="22" fillId="32" borderId="15" xfId="55" applyNumberFormat="1" applyFont="1" applyFill="1" applyBorder="1" applyAlignment="1">
      <alignment horizontal="right" vertical="center"/>
    </xf>
    <xf numFmtId="10" fontId="22" fillId="30" borderId="15" xfId="55" applyNumberFormat="1" applyFont="1" applyFill="1" applyBorder="1" applyAlignment="1">
      <alignment horizontal="right" vertical="center"/>
    </xf>
    <xf numFmtId="4" fontId="18" fillId="0" borderId="0" xfId="0" applyNumberFormat="1" applyFont="1" applyAlignment="1">
      <alignment/>
    </xf>
    <xf numFmtId="4" fontId="24" fillId="27" borderId="23" xfId="0" applyNumberFormat="1" applyFont="1" applyFill="1" applyBorder="1" applyAlignment="1">
      <alignment/>
    </xf>
    <xf numFmtId="4" fontId="24" fillId="0" borderId="40" xfId="0" applyNumberFormat="1" applyFont="1" applyFill="1" applyBorder="1" applyAlignment="1">
      <alignment/>
    </xf>
    <xf numFmtId="4" fontId="24" fillId="0" borderId="0" xfId="0" applyNumberFormat="1" applyFont="1" applyFill="1" applyBorder="1" applyAlignment="1">
      <alignment/>
    </xf>
    <xf numFmtId="43" fontId="1" fillId="0" borderId="0" xfId="47" applyAlignment="1">
      <alignment/>
    </xf>
    <xf numFmtId="4" fontId="19" fillId="62" borderId="15" xfId="0" applyNumberFormat="1" applyFont="1" applyFill="1" applyBorder="1" applyAlignment="1">
      <alignment/>
    </xf>
    <xf numFmtId="43" fontId="1" fillId="27" borderId="15" xfId="47" applyFill="1" applyBorder="1" applyAlignment="1">
      <alignment/>
    </xf>
    <xf numFmtId="43" fontId="1" fillId="27" borderId="15" xfId="47" applyFill="1" applyBorder="1" applyAlignment="1">
      <alignment horizontal="right"/>
    </xf>
    <xf numFmtId="43" fontId="1" fillId="27" borderId="15" xfId="47" applyFill="1" applyBorder="1" applyAlignment="1">
      <alignment horizontal="right" vertical="center"/>
    </xf>
    <xf numFmtId="43" fontId="1" fillId="27" borderId="40" xfId="47" applyFill="1" applyBorder="1" applyAlignment="1">
      <alignment horizontal="left"/>
    </xf>
    <xf numFmtId="43" fontId="1" fillId="27" borderId="15" xfId="47" applyFill="1" applyBorder="1" applyAlignment="1">
      <alignment horizontal="left"/>
    </xf>
    <xf numFmtId="43" fontId="1" fillId="26" borderId="19" xfId="47" applyFill="1" applyBorder="1" applyAlignment="1" applyProtection="1">
      <alignment horizontal="left" wrapText="1"/>
      <protection locked="0"/>
    </xf>
    <xf numFmtId="43" fontId="1" fillId="26" borderId="15" xfId="47" applyFill="1" applyBorder="1" applyAlignment="1" applyProtection="1">
      <alignment horizontal="left" wrapText="1"/>
      <protection locked="0"/>
    </xf>
    <xf numFmtId="43" fontId="1" fillId="91" borderId="47" xfId="47" applyFill="1" applyBorder="1" applyAlignment="1">
      <alignment/>
    </xf>
    <xf numFmtId="4" fontId="18" fillId="0" borderId="0" xfId="0" applyNumberFormat="1" applyFont="1" applyFill="1" applyBorder="1" applyAlignment="1">
      <alignment wrapText="1"/>
    </xf>
    <xf numFmtId="186" fontId="48" fillId="0" borderId="0" xfId="0" applyNumberFormat="1" applyFont="1" applyFill="1" applyBorder="1" applyAlignment="1" applyProtection="1">
      <alignment vertical="top" wrapText="1" readingOrder="1"/>
      <protection locked="0"/>
    </xf>
    <xf numFmtId="202" fontId="18" fillId="0" borderId="0" xfId="0" applyNumberFormat="1" applyFont="1" applyFill="1" applyBorder="1" applyAlignment="1">
      <alignment horizontal="right" vertical="center" wrapText="1"/>
    </xf>
    <xf numFmtId="0" fontId="18" fillId="27" borderId="15" xfId="0" applyFont="1" applyFill="1" applyBorder="1" applyAlignment="1">
      <alignment wrapText="1"/>
    </xf>
    <xf numFmtId="43" fontId="24" fillId="93" borderId="15" xfId="0" applyNumberFormat="1" applyFont="1" applyFill="1" applyBorder="1" applyAlignment="1">
      <alignment horizontal="right"/>
    </xf>
    <xf numFmtId="0" fontId="18" fillId="29" borderId="19" xfId="0" applyFont="1" applyFill="1" applyBorder="1" applyAlignment="1">
      <alignment/>
    </xf>
    <xf numFmtId="0" fontId="18" fillId="29" borderId="23" xfId="0" applyFont="1" applyFill="1" applyBorder="1" applyAlignment="1">
      <alignment/>
    </xf>
    <xf numFmtId="0" fontId="37" fillId="85" borderId="15" xfId="0" applyFont="1" applyFill="1" applyBorder="1" applyAlignment="1">
      <alignment horizontal="left" vertical="center" wrapText="1"/>
    </xf>
    <xf numFmtId="0" fontId="38" fillId="85" borderId="0" xfId="0" applyFont="1" applyFill="1" applyAlignment="1">
      <alignment/>
    </xf>
    <xf numFmtId="9" fontId="0" fillId="85" borderId="15" xfId="0" applyNumberFormat="1" applyFill="1" applyBorder="1" applyAlignment="1">
      <alignment/>
    </xf>
    <xf numFmtId="0" fontId="47" fillId="90" borderId="48" xfId="0" applyFont="1" applyFill="1" applyBorder="1" applyAlignment="1" applyProtection="1">
      <alignment wrapText="1"/>
      <protection/>
    </xf>
    <xf numFmtId="0" fontId="47" fillId="90" borderId="0" xfId="0" applyFont="1" applyFill="1" applyBorder="1" applyAlignment="1" applyProtection="1">
      <alignment wrapText="1"/>
      <protection/>
    </xf>
    <xf numFmtId="0" fontId="47" fillId="90" borderId="45" xfId="0" applyFont="1" applyFill="1" applyBorder="1" applyAlignment="1" applyProtection="1">
      <alignment wrapText="1"/>
      <protection/>
    </xf>
    <xf numFmtId="0" fontId="19" fillId="6" borderId="35" xfId="0" applyFont="1" applyFill="1" applyBorder="1" applyAlignment="1">
      <alignment wrapText="1"/>
    </xf>
    <xf numFmtId="49" fontId="19" fillId="94" borderId="21" xfId="0" applyNumberFormat="1" applyFont="1" applyFill="1" applyBorder="1" applyAlignment="1">
      <alignment vertical="center"/>
    </xf>
    <xf numFmtId="49" fontId="19" fillId="94" borderId="49" xfId="0" applyNumberFormat="1" applyFont="1" applyFill="1" applyBorder="1" applyAlignment="1">
      <alignment vertical="center"/>
    </xf>
    <xf numFmtId="49" fontId="19" fillId="94" borderId="22" xfId="0" applyNumberFormat="1" applyFont="1" applyFill="1" applyBorder="1" applyAlignment="1">
      <alignment vertical="center"/>
    </xf>
    <xf numFmtId="0" fontId="19" fillId="95" borderId="21" xfId="0" applyFont="1" applyFill="1" applyBorder="1" applyAlignment="1">
      <alignment/>
    </xf>
    <xf numFmtId="0" fontId="19" fillId="95" borderId="49" xfId="0" applyFont="1" applyFill="1" applyBorder="1" applyAlignment="1">
      <alignment/>
    </xf>
    <xf numFmtId="0" fontId="19" fillId="41" borderId="50" xfId="0" applyFont="1" applyFill="1" applyBorder="1" applyAlignment="1">
      <alignment vertical="center" wrapText="1"/>
    </xf>
    <xf numFmtId="49" fontId="20" fillId="6" borderId="19" xfId="0" applyNumberFormat="1" applyFont="1" applyFill="1" applyBorder="1" applyAlignment="1">
      <alignment vertical="center" wrapText="1"/>
    </xf>
    <xf numFmtId="0" fontId="19" fillId="96" borderId="19" xfId="0" applyFont="1" applyFill="1" applyBorder="1" applyAlignment="1">
      <alignment vertical="center" wrapText="1"/>
    </xf>
    <xf numFmtId="0" fontId="19" fillId="40" borderId="19" xfId="0" applyFont="1" applyFill="1" applyBorder="1" applyAlignment="1">
      <alignment vertical="center" wrapText="1"/>
    </xf>
    <xf numFmtId="9" fontId="22" fillId="97" borderId="24" xfId="55" applyFont="1" applyFill="1" applyBorder="1" applyAlignment="1">
      <alignment vertical="center"/>
    </xf>
    <xf numFmtId="9" fontId="22" fillId="97" borderId="26" xfId="55" applyFont="1" applyFill="1" applyBorder="1" applyAlignment="1">
      <alignment vertical="center"/>
    </xf>
    <xf numFmtId="0" fontId="19" fillId="41" borderId="51" xfId="0" applyFont="1" applyFill="1" applyBorder="1" applyAlignment="1">
      <alignment vertical="center" wrapText="1"/>
    </xf>
    <xf numFmtId="4" fontId="19" fillId="98" borderId="19" xfId="0" applyNumberFormat="1" applyFont="1" applyFill="1" applyBorder="1" applyAlignment="1">
      <alignment vertical="center" wrapText="1"/>
    </xf>
    <xf numFmtId="49" fontId="20" fillId="6" borderId="23" xfId="0" applyNumberFormat="1" applyFont="1" applyFill="1" applyBorder="1" applyAlignment="1">
      <alignment vertical="center" wrapText="1"/>
    </xf>
    <xf numFmtId="0" fontId="19" fillId="96" borderId="23" xfId="0" applyFont="1" applyFill="1" applyBorder="1" applyAlignment="1">
      <alignment vertical="center" wrapText="1"/>
    </xf>
    <xf numFmtId="0" fontId="19" fillId="40" borderId="52" xfId="0" applyFont="1" applyFill="1" applyBorder="1" applyAlignment="1">
      <alignment vertical="center" wrapText="1"/>
    </xf>
    <xf numFmtId="0" fontId="19" fillId="41" borderId="31" xfId="0" applyFont="1" applyFill="1" applyBorder="1" applyAlignment="1">
      <alignment vertical="center" wrapText="1"/>
    </xf>
    <xf numFmtId="4" fontId="19" fillId="98" borderId="52" xfId="0" applyNumberFormat="1" applyFont="1" applyFill="1" applyBorder="1" applyAlignment="1">
      <alignment vertical="center" wrapText="1"/>
    </xf>
    <xf numFmtId="49" fontId="24" fillId="23" borderId="19" xfId="0" applyNumberFormat="1" applyFont="1" applyFill="1" applyBorder="1" applyAlignment="1">
      <alignment vertical="center" wrapText="1"/>
    </xf>
    <xf numFmtId="0" fontId="41" fillId="84" borderId="19" xfId="0" applyFont="1" applyFill="1" applyBorder="1" applyAlignment="1">
      <alignment vertical="center" wrapText="1"/>
    </xf>
    <xf numFmtId="49" fontId="24" fillId="23" borderId="41" xfId="0" applyNumberFormat="1" applyFont="1" applyFill="1" applyBorder="1" applyAlignment="1">
      <alignment vertical="center" wrapText="1"/>
    </xf>
    <xf numFmtId="0" fontId="41" fillId="84" borderId="41" xfId="0" applyFont="1" applyFill="1" applyBorder="1" applyAlignment="1">
      <alignment vertical="center" wrapText="1"/>
    </xf>
    <xf numFmtId="49" fontId="24" fillId="23" borderId="53" xfId="0" applyNumberFormat="1" applyFont="1" applyFill="1" applyBorder="1" applyAlignment="1">
      <alignment vertical="center" wrapText="1"/>
    </xf>
    <xf numFmtId="49" fontId="24" fillId="23" borderId="28" xfId="0" applyNumberFormat="1" applyFont="1" applyFill="1" applyBorder="1" applyAlignment="1">
      <alignment vertical="center" wrapText="1"/>
    </xf>
    <xf numFmtId="0" fontId="18" fillId="26" borderId="53" xfId="0" applyFont="1" applyFill="1" applyBorder="1" applyAlignment="1">
      <alignment vertical="center" wrapText="1"/>
    </xf>
    <xf numFmtId="0" fontId="24" fillId="29" borderId="53" xfId="0" applyFont="1" applyFill="1" applyBorder="1" applyAlignment="1">
      <alignment vertical="center" wrapText="1"/>
    </xf>
    <xf numFmtId="49" fontId="24" fillId="23" borderId="23" xfId="0" applyNumberFormat="1" applyFont="1" applyFill="1" applyBorder="1" applyAlignment="1">
      <alignment vertical="center" wrapText="1"/>
    </xf>
    <xf numFmtId="0" fontId="18" fillId="26" borderId="23" xfId="0" applyFont="1" applyFill="1" applyBorder="1" applyAlignment="1">
      <alignment vertical="center" wrapText="1"/>
    </xf>
    <xf numFmtId="0" fontId="24" fillId="29" borderId="23" xfId="0" applyFont="1" applyFill="1" applyBorder="1" applyAlignment="1">
      <alignment vertical="center" wrapText="1"/>
    </xf>
    <xf numFmtId="0" fontId="40" fillId="0" borderId="19" xfId="0" applyFont="1" applyBorder="1" applyAlignment="1">
      <alignment vertical="center" wrapText="1"/>
    </xf>
    <xf numFmtId="0" fontId="40" fillId="0" borderId="28" xfId="0" applyFont="1" applyBorder="1" applyAlignment="1">
      <alignment vertical="center" wrapText="1"/>
    </xf>
    <xf numFmtId="0" fontId="18" fillId="0" borderId="28" xfId="0" applyFont="1" applyFill="1" applyBorder="1" applyAlignment="1">
      <alignment vertical="center" wrapText="1"/>
    </xf>
    <xf numFmtId="0" fontId="24" fillId="0" borderId="23" xfId="0" applyFont="1" applyFill="1" applyBorder="1" applyAlignment="1">
      <alignment vertical="center" wrapText="1"/>
    </xf>
    <xf numFmtId="0" fontId="18" fillId="27" borderId="19" xfId="0" applyFont="1" applyFill="1" applyBorder="1" applyAlignment="1">
      <alignment/>
    </xf>
    <xf numFmtId="0" fontId="18" fillId="27" borderId="23" xfId="0" applyFont="1" applyFill="1" applyBorder="1" applyAlignment="1">
      <alignment/>
    </xf>
    <xf numFmtId="0" fontId="42" fillId="99" borderId="19" xfId="0" applyFont="1" applyFill="1" applyBorder="1" applyAlignment="1">
      <alignment vertical="center" wrapText="1"/>
    </xf>
    <xf numFmtId="0" fontId="42" fillId="99" borderId="28" xfId="0" applyFont="1" applyFill="1" applyBorder="1" applyAlignment="1">
      <alignment vertical="center" wrapText="1"/>
    </xf>
    <xf numFmtId="0" fontId="42" fillId="99" borderId="41" xfId="0" applyFont="1" applyFill="1" applyBorder="1" applyAlignment="1">
      <alignment vertical="center" wrapText="1"/>
    </xf>
    <xf numFmtId="0" fontId="31" fillId="99" borderId="21" xfId="0" applyFont="1" applyFill="1" applyBorder="1" applyAlignment="1">
      <alignment vertical="center" wrapText="1"/>
    </xf>
    <xf numFmtId="0" fontId="31" fillId="99" borderId="49" xfId="0" applyFont="1" applyFill="1" applyBorder="1" applyAlignment="1">
      <alignment vertical="center" wrapText="1"/>
    </xf>
    <xf numFmtId="0" fontId="31" fillId="99" borderId="22" xfId="0" applyFont="1" applyFill="1" applyBorder="1" applyAlignment="1">
      <alignment vertical="center" wrapText="1"/>
    </xf>
    <xf numFmtId="0" fontId="25" fillId="79" borderId="54" xfId="0" applyFont="1" applyFill="1" applyBorder="1" applyAlignment="1">
      <alignment vertical="center" wrapText="1"/>
    </xf>
    <xf numFmtId="0" fontId="25" fillId="79" borderId="55" xfId="0" applyFont="1" applyFill="1" applyBorder="1" applyAlignment="1">
      <alignment vertical="center" wrapText="1"/>
    </xf>
    <xf numFmtId="0" fontId="24" fillId="0" borderId="0" xfId="0" applyFont="1" applyFill="1" applyBorder="1" applyAlignment="1">
      <alignment wrapText="1"/>
    </xf>
    <xf numFmtId="49" fontId="24" fillId="23" borderId="19" xfId="0" applyNumberFormat="1" applyFont="1" applyFill="1" applyBorder="1" applyAlignment="1">
      <alignment horizontal="center" vertical="center" wrapText="1"/>
    </xf>
    <xf numFmtId="0" fontId="24" fillId="0" borderId="19" xfId="0" applyFont="1" applyFill="1" applyBorder="1" applyAlignment="1">
      <alignment horizontal="left" vertical="center" wrapText="1"/>
    </xf>
    <xf numFmtId="0" fontId="18" fillId="26" borderId="28" xfId="0" applyFont="1" applyFill="1" applyBorder="1" applyAlignment="1">
      <alignment horizontal="center" vertical="center" wrapText="1"/>
    </xf>
    <xf numFmtId="0" fontId="18" fillId="27" borderId="15" xfId="0" applyFont="1" applyFill="1" applyBorder="1" applyAlignment="1">
      <alignment horizontal="center" vertical="center" wrapText="1"/>
    </xf>
    <xf numFmtId="1" fontId="27" fillId="27" borderId="15" xfId="0" applyNumberFormat="1" applyFont="1" applyFill="1" applyBorder="1" applyAlignment="1" applyProtection="1">
      <alignment horizontal="center" vertical="center" wrapText="1"/>
      <protection locked="0"/>
    </xf>
    <xf numFmtId="0" fontId="27" fillId="27" borderId="15" xfId="0" applyFont="1" applyFill="1" applyBorder="1" applyAlignment="1">
      <alignment horizontal="center" vertical="center" wrapText="1"/>
    </xf>
    <xf numFmtId="0" fontId="27" fillId="27" borderId="15" xfId="0" applyFont="1" applyFill="1" applyBorder="1" applyAlignment="1">
      <alignment horizontal="center" vertical="center"/>
    </xf>
    <xf numFmtId="0" fontId="22" fillId="0" borderId="0" xfId="0" applyFont="1" applyAlignment="1">
      <alignment/>
    </xf>
    <xf numFmtId="186" fontId="24" fillId="0" borderId="15" xfId="0" applyNumberFormat="1" applyFont="1" applyBorder="1" applyAlignment="1" applyProtection="1">
      <alignment horizontal="center" vertical="center" wrapText="1" readingOrder="1"/>
      <protection locked="0"/>
    </xf>
    <xf numFmtId="0" fontId="66" fillId="29" borderId="15" xfId="0" applyFont="1" applyFill="1" applyBorder="1" applyAlignment="1">
      <alignment/>
    </xf>
    <xf numFmtId="2" fontId="24" fillId="92" borderId="15" xfId="0" applyNumberFormat="1" applyFont="1" applyFill="1" applyBorder="1" applyAlignment="1">
      <alignment horizontal="right"/>
    </xf>
    <xf numFmtId="3" fontId="18" fillId="29" borderId="15" xfId="0" applyNumberFormat="1" applyFont="1" applyFill="1" applyBorder="1" applyAlignment="1">
      <alignment/>
    </xf>
    <xf numFmtId="2" fontId="24" fillId="92" borderId="0" xfId="0" applyNumberFormat="1" applyFont="1" applyFill="1" applyBorder="1" applyAlignment="1">
      <alignment horizontal="right"/>
    </xf>
    <xf numFmtId="43" fontId="24" fillId="92" borderId="0" xfId="0" applyNumberFormat="1" applyFont="1" applyFill="1" applyBorder="1" applyAlignment="1">
      <alignment horizontal="right"/>
    </xf>
    <xf numFmtId="1" fontId="22" fillId="33" borderId="0" xfId="55" applyNumberFormat="1" applyFont="1" applyFill="1" applyBorder="1" applyAlignment="1">
      <alignment horizontal="right"/>
    </xf>
    <xf numFmtId="0" fontId="21" fillId="0" borderId="32" xfId="0" applyFont="1" applyBorder="1" applyAlignment="1">
      <alignment wrapText="1"/>
    </xf>
    <xf numFmtId="49" fontId="24" fillId="86" borderId="32" xfId="0" applyNumberFormat="1" applyFont="1" applyFill="1" applyBorder="1" applyAlignment="1">
      <alignment horizontal="center" vertical="center" wrapText="1"/>
    </xf>
    <xf numFmtId="0" fontId="41" fillId="87" borderId="32" xfId="0" applyFont="1" applyFill="1" applyBorder="1" applyAlignment="1">
      <alignment horizontal="center" vertical="center" wrapText="1"/>
    </xf>
    <xf numFmtId="0" fontId="18" fillId="87" borderId="32" xfId="0" applyFont="1" applyFill="1" applyBorder="1" applyAlignment="1">
      <alignment horizontal="center" vertical="center" wrapText="1"/>
    </xf>
    <xf numFmtId="0" fontId="24" fillId="87" borderId="32" xfId="0" applyFont="1" applyFill="1" applyBorder="1" applyAlignment="1">
      <alignment vertical="center" wrapText="1"/>
    </xf>
    <xf numFmtId="0" fontId="18" fillId="0" borderId="15" xfId="0" applyFont="1" applyFill="1" applyBorder="1" applyAlignment="1">
      <alignment vertical="center"/>
    </xf>
    <xf numFmtId="43" fontId="22" fillId="85" borderId="15" xfId="47" applyFont="1" applyFill="1" applyBorder="1" applyAlignment="1">
      <alignment horizontal="left"/>
    </xf>
    <xf numFmtId="0" fontId="14" fillId="0" borderId="15" xfId="0" applyFont="1" applyBorder="1" applyAlignment="1">
      <alignment/>
    </xf>
    <xf numFmtId="0" fontId="29" fillId="0" borderId="15" xfId="0" applyFont="1" applyFill="1" applyBorder="1" applyAlignment="1">
      <alignment horizontal="right"/>
    </xf>
    <xf numFmtId="0" fontId="14" fillId="0" borderId="0" xfId="0" applyFont="1" applyAlignment="1">
      <alignment/>
    </xf>
    <xf numFmtId="0" fontId="30" fillId="83" borderId="19" xfId="0" applyFont="1" applyFill="1" applyBorder="1" applyAlignment="1">
      <alignment vertical="center" wrapText="1"/>
    </xf>
    <xf numFmtId="0" fontId="29" fillId="78" borderId="15" xfId="0" applyFont="1" applyFill="1" applyBorder="1" applyAlignment="1">
      <alignment horizontal="right"/>
    </xf>
    <xf numFmtId="0" fontId="29" fillId="0" borderId="0" xfId="0" applyFont="1" applyAlignment="1">
      <alignment/>
    </xf>
    <xf numFmtId="9" fontId="14" fillId="0" borderId="15" xfId="0" applyNumberFormat="1" applyFont="1" applyBorder="1" applyAlignment="1">
      <alignment/>
    </xf>
    <xf numFmtId="9" fontId="24" fillId="29" borderId="15" xfId="0" applyNumberFormat="1" applyFont="1" applyFill="1" applyBorder="1" applyAlignment="1">
      <alignment horizontal="right"/>
    </xf>
    <xf numFmtId="0" fontId="18" fillId="0" borderId="15" xfId="0" applyFont="1" applyFill="1" applyBorder="1" applyAlignment="1">
      <alignment horizontal="right"/>
    </xf>
    <xf numFmtId="9" fontId="24" fillId="29" borderId="40" xfId="0" applyNumberFormat="1" applyFont="1" applyFill="1" applyBorder="1" applyAlignment="1">
      <alignment horizontal="right"/>
    </xf>
    <xf numFmtId="9" fontId="24" fillId="29" borderId="23" xfId="0" applyNumberFormat="1" applyFont="1" applyFill="1" applyBorder="1" applyAlignment="1">
      <alignment horizontal="right"/>
    </xf>
    <xf numFmtId="43" fontId="1" fillId="0" borderId="0" xfId="47" applyAlignment="1">
      <alignment/>
    </xf>
    <xf numFmtId="0" fontId="19" fillId="39" borderId="19" xfId="0" applyFont="1" applyFill="1" applyBorder="1" applyAlignment="1">
      <alignment vertical="center" textRotation="90" wrapText="1"/>
    </xf>
    <xf numFmtId="0" fontId="19" fillId="39" borderId="52" xfId="0" applyFont="1" applyFill="1" applyBorder="1" applyAlignment="1">
      <alignment vertical="center" textRotation="90" wrapText="1"/>
    </xf>
    <xf numFmtId="0" fontId="31" fillId="92" borderId="21" xfId="0" applyFont="1" applyFill="1" applyBorder="1" applyAlignment="1">
      <alignment vertical="center" wrapText="1"/>
    </xf>
    <xf numFmtId="0" fontId="31" fillId="92" borderId="49" xfId="0" applyFont="1" applyFill="1" applyBorder="1" applyAlignment="1">
      <alignment vertical="center" wrapText="1"/>
    </xf>
    <xf numFmtId="10" fontId="1" fillId="92" borderId="15" xfId="55" applyNumberFormat="1" applyFill="1" applyBorder="1" applyAlignment="1">
      <alignment horizontal="right"/>
    </xf>
    <xf numFmtId="43" fontId="1" fillId="0" borderId="15" xfId="47" applyBorder="1" applyAlignment="1">
      <alignment/>
    </xf>
    <xf numFmtId="0" fontId="18" fillId="27" borderId="15" xfId="0" applyFont="1" applyFill="1" applyBorder="1" applyAlignment="1">
      <alignment horizontal="center" vertical="center" wrapText="1"/>
    </xf>
    <xf numFmtId="0" fontId="19" fillId="73" borderId="23" xfId="0" applyFont="1" applyFill="1" applyBorder="1" applyAlignment="1">
      <alignment horizontal="right"/>
    </xf>
    <xf numFmtId="43" fontId="1" fillId="10" borderId="23" xfId="47" applyFill="1" applyBorder="1" applyAlignment="1">
      <alignment horizontal="right"/>
    </xf>
    <xf numFmtId="0" fontId="19" fillId="10" borderId="23" xfId="0" applyFont="1" applyFill="1" applyBorder="1" applyAlignment="1">
      <alignment horizontal="right" vertical="center"/>
    </xf>
    <xf numFmtId="43" fontId="24" fillId="27" borderId="40" xfId="0" applyNumberFormat="1" applyFont="1" applyFill="1" applyBorder="1" applyAlignment="1">
      <alignment horizontal="right"/>
    </xf>
    <xf numFmtId="9" fontId="1" fillId="27" borderId="23" xfId="55" applyFill="1" applyBorder="1" applyAlignment="1" applyProtection="1">
      <alignment horizontal="right" vertical="center" wrapText="1"/>
      <protection locked="0"/>
    </xf>
    <xf numFmtId="9" fontId="1" fillId="27" borderId="15" xfId="55" applyFill="1" applyBorder="1" applyAlignment="1">
      <alignment horizontal="right"/>
    </xf>
    <xf numFmtId="9" fontId="18" fillId="27" borderId="23" xfId="0" applyNumberFormat="1" applyFont="1" applyFill="1" applyBorder="1" applyAlignment="1">
      <alignment vertical="center" wrapText="1"/>
    </xf>
    <xf numFmtId="9" fontId="18" fillId="0" borderId="15" xfId="0" applyNumberFormat="1" applyFont="1" applyBorder="1" applyAlignment="1">
      <alignment vertical="center" wrapText="1"/>
    </xf>
    <xf numFmtId="9" fontId="1" fillId="26" borderId="15" xfId="55" applyFill="1" applyBorder="1" applyAlignment="1">
      <alignment horizontal="left"/>
    </xf>
    <xf numFmtId="43" fontId="1" fillId="0" borderId="0" xfId="47" applyFill="1" applyBorder="1" applyAlignment="1">
      <alignment vertical="center" wrapText="1"/>
    </xf>
    <xf numFmtId="4" fontId="22" fillId="26" borderId="15" xfId="47" applyNumberFormat="1" applyFont="1" applyFill="1" applyBorder="1" applyAlignment="1">
      <alignment/>
    </xf>
    <xf numFmtId="4" fontId="24" fillId="0" borderId="15" xfId="0" applyNumberFormat="1" applyFont="1" applyBorder="1" applyAlignment="1" applyProtection="1">
      <alignment horizontal="center" vertical="center" wrapText="1" readingOrder="1"/>
      <protection locked="0"/>
    </xf>
    <xf numFmtId="4" fontId="23" fillId="88" borderId="0" xfId="47" applyNumberFormat="1" applyFont="1" applyFill="1" applyBorder="1" applyAlignment="1">
      <alignment horizontal="center" vertical="center"/>
    </xf>
    <xf numFmtId="4" fontId="24" fillId="87" borderId="25" xfId="0" applyNumberFormat="1" applyFont="1" applyFill="1" applyBorder="1" applyAlignment="1">
      <alignment horizontal="center" vertical="center" wrapText="1"/>
    </xf>
    <xf numFmtId="4" fontId="24" fillId="87" borderId="26" xfId="0" applyNumberFormat="1" applyFont="1" applyFill="1" applyBorder="1" applyAlignment="1">
      <alignment horizontal="center" wrapText="1"/>
    </xf>
    <xf numFmtId="4" fontId="19" fillId="38" borderId="32" xfId="0" applyNumberFormat="1" applyFont="1" applyFill="1" applyBorder="1" applyAlignment="1">
      <alignment horizontal="right"/>
    </xf>
    <xf numFmtId="4" fontId="19" fillId="38" borderId="0" xfId="0" applyNumberFormat="1" applyFont="1" applyFill="1" applyBorder="1" applyAlignment="1">
      <alignment horizontal="right"/>
    </xf>
    <xf numFmtId="43" fontId="1" fillId="95" borderId="22" xfId="47" applyFill="1" applyBorder="1" applyAlignment="1">
      <alignment/>
    </xf>
    <xf numFmtId="43" fontId="1" fillId="40" borderId="56" xfId="47" applyFill="1" applyBorder="1" applyAlignment="1">
      <alignment vertical="center" wrapText="1"/>
    </xf>
    <xf numFmtId="43" fontId="1" fillId="40" borderId="57" xfId="47" applyFill="1" applyBorder="1" applyAlignment="1">
      <alignment vertical="center" wrapText="1"/>
    </xf>
    <xf numFmtId="43" fontId="1" fillId="38" borderId="36" xfId="47" applyFill="1" applyBorder="1" applyAlignment="1">
      <alignment/>
    </xf>
    <xf numFmtId="43" fontId="1" fillId="26" borderId="15" xfId="47" applyFill="1" applyBorder="1" applyAlignment="1">
      <alignment/>
    </xf>
    <xf numFmtId="43" fontId="1" fillId="26" borderId="40" xfId="47" applyFill="1" applyBorder="1" applyAlignment="1">
      <alignment/>
    </xf>
    <xf numFmtId="43" fontId="1" fillId="88" borderId="0" xfId="47" applyFill="1" applyBorder="1" applyAlignment="1">
      <alignment horizontal="center" vertical="center"/>
    </xf>
    <xf numFmtId="43" fontId="1" fillId="87" borderId="25" xfId="47" applyFill="1" applyBorder="1" applyAlignment="1">
      <alignment vertical="center" wrapText="1"/>
    </xf>
    <xf numFmtId="43" fontId="1" fillId="38" borderId="32" xfId="47" applyFill="1" applyBorder="1" applyAlignment="1">
      <alignment/>
    </xf>
    <xf numFmtId="43" fontId="1" fillId="38" borderId="0" xfId="47" applyFill="1" applyBorder="1" applyAlignment="1">
      <alignment/>
    </xf>
    <xf numFmtId="43" fontId="1" fillId="29" borderId="28" xfId="47" applyFill="1" applyBorder="1" applyAlignment="1">
      <alignment/>
    </xf>
    <xf numFmtId="43" fontId="1" fillId="26" borderId="19" xfId="47" applyFill="1" applyBorder="1" applyAlignment="1">
      <alignment/>
    </xf>
    <xf numFmtId="43" fontId="1" fillId="0" borderId="15" xfId="47" applyBorder="1" applyAlignment="1">
      <alignment/>
    </xf>
    <xf numFmtId="43" fontId="1" fillId="26" borderId="26" xfId="47" applyFill="1" applyBorder="1" applyAlignment="1">
      <alignment/>
    </xf>
    <xf numFmtId="43" fontId="1" fillId="26" borderId="37" xfId="47" applyFill="1" applyBorder="1" applyAlignment="1">
      <alignment/>
    </xf>
    <xf numFmtId="43" fontId="1" fillId="26" borderId="0" xfId="47" applyFill="1" applyBorder="1" applyAlignment="1">
      <alignment/>
    </xf>
    <xf numFmtId="43" fontId="1" fillId="26" borderId="58" xfId="47" applyFill="1" applyBorder="1" applyAlignment="1">
      <alignment/>
    </xf>
    <xf numFmtId="43" fontId="1" fillId="26" borderId="32" xfId="47" applyFill="1" applyBorder="1" applyAlignment="1">
      <alignment/>
    </xf>
    <xf numFmtId="43" fontId="1" fillId="88" borderId="39" xfId="47" applyFill="1" applyBorder="1" applyAlignment="1">
      <alignment vertical="center"/>
    </xf>
    <xf numFmtId="43" fontId="1" fillId="38" borderId="25" xfId="47" applyFill="1" applyBorder="1" applyAlignment="1">
      <alignment/>
    </xf>
    <xf numFmtId="43" fontId="1" fillId="38" borderId="15" xfId="47" applyFill="1" applyBorder="1" applyAlignment="1">
      <alignment/>
    </xf>
    <xf numFmtId="43" fontId="1" fillId="38" borderId="40" xfId="47" applyFill="1" applyBorder="1" applyAlignment="1">
      <alignment/>
    </xf>
    <xf numFmtId="43" fontId="1" fillId="38" borderId="23" xfId="47" applyFill="1" applyBorder="1" applyAlignment="1">
      <alignment/>
    </xf>
    <xf numFmtId="43" fontId="1" fillId="86" borderId="38" xfId="47" applyFill="1" applyBorder="1" applyAlignment="1">
      <alignment vertical="center" wrapText="1"/>
    </xf>
    <xf numFmtId="43" fontId="1" fillId="62" borderId="19" xfId="47" applyFill="1" applyBorder="1" applyAlignment="1">
      <alignment/>
    </xf>
    <xf numFmtId="43" fontId="1" fillId="91" borderId="42" xfId="47" applyFill="1" applyBorder="1" applyAlignment="1">
      <alignment/>
    </xf>
    <xf numFmtId="4" fontId="18" fillId="27" borderId="15" xfId="0" applyNumberFormat="1" applyFont="1" applyFill="1" applyBorder="1" applyAlignment="1">
      <alignment horizontal="right" vertical="center" wrapText="1"/>
    </xf>
    <xf numFmtId="43" fontId="1" fillId="27" borderId="0" xfId="47" applyFill="1" applyBorder="1" applyAlignment="1">
      <alignment horizontal="left"/>
    </xf>
    <xf numFmtId="4" fontId="18" fillId="27" borderId="15" xfId="0" applyNumberFormat="1" applyFont="1" applyFill="1" applyBorder="1" applyAlignment="1">
      <alignment horizontal="right"/>
    </xf>
    <xf numFmtId="0" fontId="24" fillId="26" borderId="28" xfId="0" applyFont="1" applyFill="1" applyBorder="1" applyAlignment="1">
      <alignment/>
    </xf>
    <xf numFmtId="0" fontId="24" fillId="26" borderId="40" xfId="0" applyFont="1" applyFill="1" applyBorder="1" applyAlignment="1">
      <alignment/>
    </xf>
    <xf numFmtId="0" fontId="18" fillId="26" borderId="23" xfId="0" applyFont="1" applyFill="1" applyBorder="1" applyAlignment="1">
      <alignment/>
    </xf>
    <xf numFmtId="0" fontId="18" fillId="26" borderId="28" xfId="0" applyFont="1" applyFill="1" applyBorder="1" applyAlignment="1">
      <alignment/>
    </xf>
    <xf numFmtId="0" fontId="66" fillId="26" borderId="15" xfId="0" applyFont="1" applyFill="1" applyBorder="1" applyAlignment="1">
      <alignment/>
    </xf>
    <xf numFmtId="0" fontId="18" fillId="26" borderId="15" xfId="0" applyFont="1" applyFill="1" applyBorder="1" applyAlignment="1">
      <alignment/>
    </xf>
    <xf numFmtId="0" fontId="18" fillId="0" borderId="15" xfId="0" applyFont="1" applyBorder="1" applyAlignment="1">
      <alignment/>
    </xf>
    <xf numFmtId="3" fontId="22" fillId="0" borderId="15" xfId="0" applyNumberFormat="1" applyFont="1" applyFill="1" applyBorder="1" applyAlignment="1" applyProtection="1">
      <alignment wrapText="1"/>
      <protection locked="0"/>
    </xf>
    <xf numFmtId="0" fontId="18" fillId="0" borderId="40" xfId="0" applyFont="1" applyFill="1" applyBorder="1" applyAlignment="1">
      <alignment/>
    </xf>
    <xf numFmtId="1" fontId="18" fillId="0" borderId="15" xfId="0" applyNumberFormat="1" applyFont="1" applyFill="1" applyBorder="1" applyAlignment="1">
      <alignment/>
    </xf>
    <xf numFmtId="1" fontId="18" fillId="0" borderId="19" xfId="0" applyNumberFormat="1" applyFont="1" applyFill="1" applyBorder="1" applyAlignment="1">
      <alignment/>
    </xf>
    <xf numFmtId="43" fontId="22" fillId="85" borderId="15" xfId="47" applyFont="1" applyFill="1" applyBorder="1" applyAlignment="1">
      <alignment/>
    </xf>
    <xf numFmtId="9" fontId="1" fillId="29" borderId="15" xfId="55" applyFill="1" applyBorder="1" applyAlignment="1">
      <alignment/>
    </xf>
    <xf numFmtId="9" fontId="1" fillId="27" borderId="0" xfId="55" applyFill="1" applyBorder="1" applyAlignment="1" applyProtection="1">
      <alignment vertical="center" wrapText="1"/>
      <protection locked="0"/>
    </xf>
    <xf numFmtId="9" fontId="22" fillId="27" borderId="15" xfId="55" applyFont="1" applyFill="1" applyBorder="1" applyAlignment="1" applyProtection="1">
      <alignment vertical="center" wrapText="1"/>
      <protection locked="0"/>
    </xf>
    <xf numFmtId="194" fontId="27" fillId="27" borderId="15" xfId="0" applyNumberFormat="1" applyFont="1" applyFill="1" applyBorder="1" applyAlignment="1" applyProtection="1">
      <alignment vertical="center" wrapText="1"/>
      <protection locked="0"/>
    </xf>
    <xf numFmtId="195" fontId="27" fillId="27" borderId="15" xfId="0" applyNumberFormat="1" applyFont="1" applyFill="1" applyBorder="1" applyAlignment="1" applyProtection="1">
      <alignment vertical="center" wrapText="1"/>
      <protection locked="0"/>
    </xf>
    <xf numFmtId="1" fontId="22" fillId="27" borderId="40" xfId="55" applyNumberFormat="1" applyFont="1" applyFill="1" applyBorder="1" applyAlignment="1" applyProtection="1">
      <alignment vertical="center" wrapText="1"/>
      <protection locked="0"/>
    </xf>
    <xf numFmtId="9" fontId="1" fillId="27" borderId="23" xfId="55" applyFill="1" applyBorder="1" applyAlignment="1" applyProtection="1">
      <alignment vertical="center" wrapText="1"/>
      <protection locked="0"/>
    </xf>
    <xf numFmtId="9" fontId="1" fillId="27" borderId="40" xfId="55" applyNumberFormat="1" applyFill="1" applyBorder="1" applyAlignment="1" applyProtection="1">
      <alignment vertical="center" wrapText="1"/>
      <protection locked="0"/>
    </xf>
    <xf numFmtId="1" fontId="27" fillId="27" borderId="40" xfId="0" applyNumberFormat="1" applyFont="1" applyFill="1" applyBorder="1" applyAlignment="1" applyProtection="1">
      <alignment vertical="center" wrapText="1"/>
      <protection locked="0"/>
    </xf>
    <xf numFmtId="43" fontId="23" fillId="91" borderId="59" xfId="47" applyNumberFormat="1" applyFont="1" applyFill="1" applyBorder="1" applyAlignment="1">
      <alignment/>
    </xf>
    <xf numFmtId="43" fontId="23" fillId="91" borderId="60" xfId="47" applyNumberFormat="1" applyFont="1" applyFill="1" applyBorder="1" applyAlignment="1">
      <alignment horizontal="right"/>
    </xf>
    <xf numFmtId="43" fontId="23" fillId="91" borderId="60" xfId="47" applyNumberFormat="1" applyFont="1" applyFill="1" applyBorder="1" applyAlignment="1">
      <alignment/>
    </xf>
    <xf numFmtId="0" fontId="22" fillId="0" borderId="49" xfId="0" applyFont="1" applyBorder="1" applyAlignment="1">
      <alignment/>
    </xf>
    <xf numFmtId="9" fontId="22" fillId="26" borderId="23" xfId="55" applyFont="1" applyFill="1" applyBorder="1" applyAlignment="1">
      <alignment horizontal="right"/>
    </xf>
    <xf numFmtId="43" fontId="22" fillId="26" borderId="23" xfId="55" applyNumberFormat="1" applyFont="1" applyFill="1" applyBorder="1" applyAlignment="1">
      <alignment horizontal="right"/>
    </xf>
    <xf numFmtId="0" fontId="24" fillId="26" borderId="15" xfId="0" applyFont="1" applyFill="1" applyBorder="1" applyAlignment="1">
      <alignment vertical="center"/>
    </xf>
    <xf numFmtId="3" fontId="1" fillId="26" borderId="15" xfId="55" applyNumberFormat="1" applyFill="1" applyBorder="1" applyAlignment="1">
      <alignment horizontal="right"/>
    </xf>
    <xf numFmtId="10" fontId="22" fillId="0" borderId="15" xfId="55" applyNumberFormat="1" applyFont="1" applyFill="1" applyBorder="1" applyAlignment="1">
      <alignment/>
    </xf>
    <xf numFmtId="10" fontId="22" fillId="88" borderId="0" xfId="55" applyNumberFormat="1" applyFont="1" applyFill="1" applyBorder="1" applyAlignment="1">
      <alignment horizontal="center" vertical="center"/>
    </xf>
    <xf numFmtId="10" fontId="22" fillId="27" borderId="15" xfId="55" applyNumberFormat="1" applyFont="1" applyFill="1" applyBorder="1" applyAlignment="1">
      <alignment horizontal="right"/>
    </xf>
    <xf numFmtId="10" fontId="22" fillId="27" borderId="0" xfId="55" applyNumberFormat="1" applyFont="1" applyFill="1" applyAlignment="1">
      <alignment horizontal="right"/>
    </xf>
    <xf numFmtId="43" fontId="22" fillId="88" borderId="39" xfId="47" applyFont="1" applyFill="1" applyBorder="1" applyAlignment="1">
      <alignment vertical="center"/>
    </xf>
    <xf numFmtId="10" fontId="23" fillId="0" borderId="20" xfId="55" applyNumberFormat="1" applyFont="1" applyBorder="1" applyAlignment="1">
      <alignment/>
    </xf>
    <xf numFmtId="171" fontId="24" fillId="29" borderId="15" xfId="0" applyNumberFormat="1" applyFont="1" applyFill="1" applyBorder="1" applyAlignment="1">
      <alignment horizontal="right" vertical="center"/>
    </xf>
    <xf numFmtId="171" fontId="24" fillId="29" borderId="15" xfId="0" applyNumberFormat="1" applyFont="1" applyFill="1" applyBorder="1" applyAlignment="1">
      <alignment horizontal="right" vertical="center" wrapText="1"/>
    </xf>
    <xf numFmtId="0" fontId="30" fillId="100" borderId="19" xfId="0" applyFont="1" applyFill="1" applyBorder="1" applyAlignment="1">
      <alignment vertical="center" wrapText="1"/>
    </xf>
    <xf numFmtId="0" fontId="30" fillId="100" borderId="15" xfId="0" applyFont="1" applyFill="1" applyBorder="1" applyAlignment="1">
      <alignment horizontal="left" vertical="center" wrapText="1"/>
    </xf>
    <xf numFmtId="0" fontId="37" fillId="101" borderId="15" xfId="0" applyFont="1" applyFill="1" applyBorder="1" applyAlignment="1">
      <alignment vertical="center" wrapText="1"/>
    </xf>
    <xf numFmtId="0" fontId="51" fillId="83" borderId="15" xfId="0" applyFont="1" applyFill="1" applyBorder="1" applyAlignment="1">
      <alignment horizontal="left" vertical="center" wrapText="1"/>
    </xf>
    <xf numFmtId="0" fontId="37" fillId="102" borderId="15" xfId="0" applyFont="1" applyFill="1" applyBorder="1" applyAlignment="1">
      <alignment vertical="center" wrapText="1"/>
    </xf>
    <xf numFmtId="0" fontId="37" fillId="103" borderId="15" xfId="0" applyFont="1" applyFill="1" applyBorder="1" applyAlignment="1">
      <alignment vertical="center" wrapText="1"/>
    </xf>
    <xf numFmtId="0" fontId="37" fillId="104" borderId="15" xfId="0" applyFont="1" applyFill="1" applyBorder="1" applyAlignment="1">
      <alignment vertical="center" wrapText="1"/>
    </xf>
    <xf numFmtId="0" fontId="51" fillId="104" borderId="15" xfId="0" applyFont="1" applyFill="1" applyBorder="1" applyAlignment="1">
      <alignment vertical="center" wrapText="1"/>
    </xf>
    <xf numFmtId="0" fontId="52" fillId="0" borderId="15" xfId="0" applyFont="1" applyBorder="1" applyAlignment="1">
      <alignment horizontal="center"/>
    </xf>
    <xf numFmtId="0" fontId="37" fillId="82" borderId="15" xfId="0" applyFont="1" applyFill="1" applyBorder="1" applyAlignment="1">
      <alignment vertical="center" wrapText="1"/>
    </xf>
    <xf numFmtId="0" fontId="53" fillId="100" borderId="15" xfId="0" applyFont="1" applyFill="1" applyBorder="1" applyAlignment="1">
      <alignment horizontal="right" vertical="center" wrapText="1"/>
    </xf>
    <xf numFmtId="0" fontId="37" fillId="83" borderId="15" xfId="0" applyFont="1" applyFill="1" applyBorder="1" applyAlignment="1">
      <alignment vertical="center" wrapText="1"/>
    </xf>
    <xf numFmtId="0" fontId="53" fillId="101" borderId="15" xfId="0" applyFont="1" applyFill="1" applyBorder="1" applyAlignment="1">
      <alignment vertical="center" wrapText="1"/>
    </xf>
    <xf numFmtId="0" fontId="51" fillId="99" borderId="15" xfId="0" applyFont="1" applyFill="1" applyBorder="1" applyAlignment="1">
      <alignment vertical="center" wrapText="1"/>
    </xf>
    <xf numFmtId="0" fontId="35" fillId="103" borderId="15" xfId="0" applyFont="1" applyFill="1" applyBorder="1" applyAlignment="1">
      <alignment vertical="center" wrapText="1"/>
    </xf>
    <xf numFmtId="0" fontId="51" fillId="89" borderId="15" xfId="0" applyFont="1" applyFill="1" applyBorder="1" applyAlignment="1">
      <alignment vertical="center" wrapText="1"/>
    </xf>
    <xf numFmtId="0" fontId="35" fillId="104" borderId="15" xfId="0" applyFont="1" applyFill="1" applyBorder="1" applyAlignment="1">
      <alignment vertical="center" wrapText="1"/>
    </xf>
    <xf numFmtId="4" fontId="24" fillId="85" borderId="15" xfId="0" applyNumberFormat="1" applyFont="1" applyFill="1" applyBorder="1" applyAlignment="1">
      <alignment/>
    </xf>
    <xf numFmtId="2" fontId="24" fillId="85" borderId="15" xfId="0" applyNumberFormat="1" applyFont="1" applyFill="1" applyBorder="1" applyAlignment="1">
      <alignment/>
    </xf>
    <xf numFmtId="0" fontId="19" fillId="40" borderId="0" xfId="0" applyFont="1" applyFill="1" applyBorder="1" applyAlignment="1">
      <alignment vertical="center" wrapText="1"/>
    </xf>
    <xf numFmtId="186" fontId="19" fillId="27" borderId="15" xfId="0" applyNumberFormat="1" applyFont="1" applyFill="1" applyBorder="1" applyAlignment="1" applyProtection="1">
      <alignment vertical="top" wrapText="1" readingOrder="1"/>
      <protection locked="0"/>
    </xf>
    <xf numFmtId="4" fontId="24" fillId="27" borderId="0" xfId="0" applyNumberFormat="1" applyFont="1" applyFill="1" applyBorder="1" applyAlignment="1">
      <alignment/>
    </xf>
    <xf numFmtId="0" fontId="18" fillId="0" borderId="23" xfId="0" applyFont="1" applyFill="1" applyBorder="1" applyAlignment="1">
      <alignment horizontal="center" vertical="center" wrapText="1"/>
    </xf>
    <xf numFmtId="0" fontId="0" fillId="0" borderId="23" xfId="0" applyBorder="1" applyAlignment="1">
      <alignment/>
    </xf>
    <xf numFmtId="0" fontId="24" fillId="29" borderId="19" xfId="0" applyFont="1" applyFill="1" applyBorder="1" applyAlignment="1">
      <alignment horizontal="right"/>
    </xf>
    <xf numFmtId="43" fontId="1" fillId="0" borderId="19" xfId="47" applyBorder="1" applyAlignment="1">
      <alignment/>
    </xf>
    <xf numFmtId="10" fontId="1" fillId="92" borderId="19" xfId="55" applyNumberFormat="1" applyFill="1" applyBorder="1" applyAlignment="1">
      <alignment horizontal="right"/>
    </xf>
    <xf numFmtId="43" fontId="24" fillId="92" borderId="19" xfId="0" applyNumberFormat="1" applyFont="1" applyFill="1" applyBorder="1" applyAlignment="1">
      <alignment horizontal="right"/>
    </xf>
    <xf numFmtId="0" fontId="24" fillId="27" borderId="19" xfId="0" applyFont="1" applyFill="1" applyBorder="1" applyAlignment="1">
      <alignment horizontal="right"/>
    </xf>
    <xf numFmtId="1" fontId="22" fillId="33" borderId="19" xfId="55" applyNumberFormat="1" applyFont="1" applyFill="1" applyBorder="1" applyAlignment="1">
      <alignment horizontal="right"/>
    </xf>
    <xf numFmtId="4" fontId="24" fillId="26" borderId="19" xfId="0" applyNumberFormat="1" applyFont="1" applyFill="1" applyBorder="1" applyAlignment="1">
      <alignment horizontal="left"/>
    </xf>
    <xf numFmtId="4" fontId="18" fillId="27" borderId="19" xfId="0" applyNumberFormat="1" applyFont="1" applyFill="1" applyBorder="1" applyAlignment="1">
      <alignment horizontal="right" vertical="center" wrapText="1"/>
    </xf>
    <xf numFmtId="4" fontId="18" fillId="75" borderId="19" xfId="0" applyNumberFormat="1" applyFont="1" applyFill="1" applyBorder="1" applyAlignment="1">
      <alignment horizontal="right" vertical="center" wrapText="1"/>
    </xf>
    <xf numFmtId="10" fontId="22" fillId="27" borderId="19" xfId="55" applyNumberFormat="1" applyFont="1" applyFill="1" applyBorder="1" applyAlignment="1">
      <alignment horizontal="right"/>
    </xf>
    <xf numFmtId="43" fontId="1" fillId="0" borderId="28" xfId="47" applyFill="1" applyBorder="1" applyAlignment="1">
      <alignment horizontal="left"/>
    </xf>
    <xf numFmtId="171" fontId="24" fillId="29" borderId="19" xfId="0" applyNumberFormat="1" applyFont="1" applyFill="1" applyBorder="1" applyAlignment="1">
      <alignment horizontal="right" vertical="center" wrapText="1"/>
    </xf>
    <xf numFmtId="0" fontId="24" fillId="26" borderId="28" xfId="0" applyFont="1" applyFill="1" applyBorder="1" applyAlignment="1">
      <alignment horizontal="left" textRotation="90"/>
    </xf>
    <xf numFmtId="2" fontId="24" fillId="92" borderId="23" xfId="0" applyNumberFormat="1" applyFont="1" applyFill="1" applyBorder="1" applyAlignment="1">
      <alignment horizontal="right"/>
    </xf>
    <xf numFmtId="43" fontId="24" fillId="92" borderId="23" xfId="0" applyNumberFormat="1" applyFont="1" applyFill="1" applyBorder="1" applyAlignment="1">
      <alignment horizontal="right"/>
    </xf>
    <xf numFmtId="0" fontId="24" fillId="27" borderId="41" xfId="0" applyFont="1" applyFill="1" applyBorder="1" applyAlignment="1">
      <alignment horizontal="right"/>
    </xf>
    <xf numFmtId="1" fontId="22" fillId="33" borderId="23" xfId="55" applyNumberFormat="1" applyFont="1" applyFill="1" applyBorder="1" applyAlignment="1">
      <alignment horizontal="right"/>
    </xf>
    <xf numFmtId="4" fontId="24" fillId="26" borderId="23" xfId="0" applyNumberFormat="1" applyFont="1" applyFill="1" applyBorder="1" applyAlignment="1">
      <alignment horizontal="left"/>
    </xf>
    <xf numFmtId="4" fontId="18" fillId="27" borderId="23" xfId="0" applyNumberFormat="1" applyFont="1" applyFill="1" applyBorder="1" applyAlignment="1">
      <alignment horizontal="right" vertical="center" wrapText="1"/>
    </xf>
    <xf numFmtId="4" fontId="18" fillId="0" borderId="23" xfId="0" applyNumberFormat="1" applyFont="1" applyFill="1" applyBorder="1" applyAlignment="1">
      <alignment horizontal="right" wrapText="1"/>
    </xf>
    <xf numFmtId="4" fontId="18" fillId="75" borderId="23" xfId="0" applyNumberFormat="1" applyFont="1" applyFill="1" applyBorder="1" applyAlignment="1">
      <alignment horizontal="right" vertical="center" wrapText="1"/>
    </xf>
    <xf numFmtId="10" fontId="22" fillId="27" borderId="23" xfId="55" applyNumberFormat="1" applyFont="1" applyFill="1" applyBorder="1" applyAlignment="1">
      <alignment horizontal="right"/>
    </xf>
    <xf numFmtId="10" fontId="22" fillId="30" borderId="23" xfId="55" applyNumberFormat="1" applyFont="1" applyFill="1" applyBorder="1" applyAlignment="1">
      <alignment horizontal="left"/>
    </xf>
    <xf numFmtId="171" fontId="24" fillId="29" borderId="23" xfId="0" applyNumberFormat="1" applyFont="1" applyFill="1" applyBorder="1" applyAlignment="1">
      <alignment horizontal="right" vertical="center" wrapText="1"/>
    </xf>
    <xf numFmtId="0" fontId="24" fillId="0" borderId="61" xfId="0" applyFont="1" applyFill="1" applyBorder="1" applyAlignment="1">
      <alignment horizontal="left" vertical="center" wrapText="1"/>
    </xf>
    <xf numFmtId="0" fontId="18" fillId="0" borderId="62" xfId="0" applyFont="1" applyFill="1" applyBorder="1" applyAlignment="1">
      <alignment vertical="center" wrapText="1"/>
    </xf>
    <xf numFmtId="0" fontId="18" fillId="27" borderId="62" xfId="0" applyFont="1" applyFill="1" applyBorder="1" applyAlignment="1">
      <alignment horizontal="left"/>
    </xf>
    <xf numFmtId="0" fontId="18" fillId="29" borderId="62" xfId="0" applyFont="1" applyFill="1" applyBorder="1" applyAlignment="1">
      <alignment/>
    </xf>
    <xf numFmtId="0" fontId="24" fillId="29" borderId="62" xfId="0" applyFont="1" applyFill="1" applyBorder="1" applyAlignment="1">
      <alignment horizontal="right"/>
    </xf>
    <xf numFmtId="43" fontId="1" fillId="0" borderId="62" xfId="47" applyBorder="1" applyAlignment="1">
      <alignment/>
    </xf>
    <xf numFmtId="2" fontId="24" fillId="92" borderId="62" xfId="0" applyNumberFormat="1" applyFont="1" applyFill="1" applyBorder="1" applyAlignment="1">
      <alignment horizontal="right"/>
    </xf>
    <xf numFmtId="43" fontId="24" fillId="92" borderId="62" xfId="0" applyNumberFormat="1" applyFont="1" applyFill="1" applyBorder="1" applyAlignment="1">
      <alignment horizontal="right"/>
    </xf>
    <xf numFmtId="0" fontId="24" fillId="27" borderId="62" xfId="0" applyFont="1" applyFill="1" applyBorder="1" applyAlignment="1">
      <alignment horizontal="right"/>
    </xf>
    <xf numFmtId="1" fontId="22" fillId="33" borderId="62" xfId="55" applyNumberFormat="1" applyFont="1" applyFill="1" applyBorder="1" applyAlignment="1">
      <alignment horizontal="right"/>
    </xf>
    <xf numFmtId="4" fontId="24" fillId="26" borderId="62" xfId="0" applyNumberFormat="1" applyFont="1" applyFill="1" applyBorder="1" applyAlignment="1">
      <alignment horizontal="left"/>
    </xf>
    <xf numFmtId="0" fontId="24" fillId="0" borderId="62" xfId="0" applyFont="1" applyBorder="1" applyAlignment="1">
      <alignment horizontal="left" wrapText="1"/>
    </xf>
    <xf numFmtId="4" fontId="18" fillId="27" borderId="62" xfId="0" applyNumberFormat="1" applyFont="1" applyFill="1" applyBorder="1" applyAlignment="1">
      <alignment horizontal="right" vertical="center" wrapText="1"/>
    </xf>
    <xf numFmtId="4" fontId="18" fillId="0" borderId="62" xfId="0" applyNumberFormat="1" applyFont="1" applyFill="1" applyBorder="1" applyAlignment="1">
      <alignment horizontal="right" wrapText="1"/>
    </xf>
    <xf numFmtId="4" fontId="18" fillId="75" borderId="62" xfId="0" applyNumberFormat="1" applyFont="1" applyFill="1" applyBorder="1" applyAlignment="1">
      <alignment horizontal="right" vertical="center" wrapText="1"/>
    </xf>
    <xf numFmtId="10" fontId="22" fillId="27" borderId="62" xfId="55" applyNumberFormat="1" applyFont="1" applyFill="1" applyBorder="1" applyAlignment="1">
      <alignment horizontal="right"/>
    </xf>
    <xf numFmtId="10" fontId="22" fillId="30" borderId="62" xfId="55" applyNumberFormat="1" applyFont="1" applyFill="1" applyBorder="1" applyAlignment="1">
      <alignment horizontal="left"/>
    </xf>
    <xf numFmtId="43" fontId="1" fillId="0" borderId="62" xfId="47" applyFill="1" applyBorder="1" applyAlignment="1">
      <alignment horizontal="left"/>
    </xf>
    <xf numFmtId="171" fontId="24" fillId="29" borderId="62" xfId="0" applyNumberFormat="1" applyFont="1" applyFill="1" applyBorder="1" applyAlignment="1">
      <alignment horizontal="right" vertical="center" wrapText="1"/>
    </xf>
    <xf numFmtId="0" fontId="24" fillId="26" borderId="63" xfId="0" applyFont="1" applyFill="1" applyBorder="1" applyAlignment="1">
      <alignment horizontal="left" textRotation="90"/>
    </xf>
    <xf numFmtId="0" fontId="18" fillId="0" borderId="23" xfId="0" applyFont="1" applyFill="1" applyBorder="1" applyAlignment="1">
      <alignment horizontal="left"/>
    </xf>
    <xf numFmtId="43" fontId="1" fillId="0" borderId="23" xfId="47" applyBorder="1" applyAlignment="1">
      <alignment/>
    </xf>
    <xf numFmtId="0" fontId="18" fillId="0" borderId="64" xfId="0" applyFont="1" applyFill="1" applyBorder="1" applyAlignment="1">
      <alignment vertical="center" wrapText="1"/>
    </xf>
    <xf numFmtId="0" fontId="18" fillId="27" borderId="64" xfId="0" applyFont="1" applyFill="1" applyBorder="1" applyAlignment="1">
      <alignment horizontal="left"/>
    </xf>
    <xf numFmtId="0" fontId="18" fillId="27" borderId="64" xfId="0" applyFont="1" applyFill="1" applyBorder="1" applyAlignment="1">
      <alignment/>
    </xf>
    <xf numFmtId="0" fontId="18" fillId="29" borderId="64" xfId="0" applyFont="1" applyFill="1" applyBorder="1" applyAlignment="1">
      <alignment/>
    </xf>
    <xf numFmtId="0" fontId="24" fillId="29" borderId="64" xfId="0" applyFont="1" applyFill="1" applyBorder="1" applyAlignment="1">
      <alignment horizontal="right"/>
    </xf>
    <xf numFmtId="43" fontId="1" fillId="0" borderId="64" xfId="47" applyBorder="1" applyAlignment="1">
      <alignment/>
    </xf>
    <xf numFmtId="2" fontId="24" fillId="92" borderId="64" xfId="0" applyNumberFormat="1" applyFont="1" applyFill="1" applyBorder="1" applyAlignment="1">
      <alignment horizontal="right"/>
    </xf>
    <xf numFmtId="43" fontId="24" fillId="92" borderId="64" xfId="0" applyNumberFormat="1" applyFont="1" applyFill="1" applyBorder="1" applyAlignment="1">
      <alignment horizontal="right"/>
    </xf>
    <xf numFmtId="0" fontId="24" fillId="27" borderId="65" xfId="0" applyFont="1" applyFill="1" applyBorder="1" applyAlignment="1">
      <alignment horizontal="right"/>
    </xf>
    <xf numFmtId="1" fontId="22" fillId="33" borderId="64" xfId="55" applyNumberFormat="1" applyFont="1" applyFill="1" applyBorder="1" applyAlignment="1">
      <alignment horizontal="right"/>
    </xf>
    <xf numFmtId="4" fontId="24" fillId="26" borderId="64" xfId="0" applyNumberFormat="1" applyFont="1" applyFill="1" applyBorder="1" applyAlignment="1">
      <alignment horizontal="left"/>
    </xf>
    <xf numFmtId="0" fontId="24" fillId="0" borderId="64" xfId="0" applyFont="1" applyBorder="1" applyAlignment="1">
      <alignment horizontal="left" wrapText="1"/>
    </xf>
    <xf numFmtId="4" fontId="18" fillId="27" borderId="64" xfId="0" applyNumberFormat="1" applyFont="1" applyFill="1" applyBorder="1" applyAlignment="1">
      <alignment horizontal="right" vertical="center" wrapText="1"/>
    </xf>
    <xf numFmtId="4" fontId="18" fillId="0" borderId="64" xfId="0" applyNumberFormat="1" applyFont="1" applyFill="1" applyBorder="1" applyAlignment="1">
      <alignment horizontal="right" wrapText="1"/>
    </xf>
    <xf numFmtId="4" fontId="18" fillId="75" borderId="64" xfId="0" applyNumberFormat="1" applyFont="1" applyFill="1" applyBorder="1" applyAlignment="1">
      <alignment horizontal="right" vertical="center" wrapText="1"/>
    </xf>
    <xf numFmtId="10" fontId="22" fillId="27" borderId="64" xfId="55" applyNumberFormat="1" applyFont="1" applyFill="1" applyBorder="1" applyAlignment="1">
      <alignment horizontal="right"/>
    </xf>
    <xf numFmtId="43" fontId="1" fillId="0" borderId="64" xfId="47" applyFill="1" applyBorder="1" applyAlignment="1">
      <alignment horizontal="left"/>
    </xf>
    <xf numFmtId="10" fontId="22" fillId="30" borderId="64" xfId="55" applyNumberFormat="1" applyFont="1" applyFill="1" applyBorder="1" applyAlignment="1">
      <alignment horizontal="left"/>
    </xf>
    <xf numFmtId="171" fontId="24" fillId="29" borderId="64" xfId="0" applyNumberFormat="1" applyFont="1" applyFill="1" applyBorder="1" applyAlignment="1">
      <alignment horizontal="right" vertical="center" wrapText="1"/>
    </xf>
    <xf numFmtId="0" fontId="24" fillId="26" borderId="66" xfId="0" applyFont="1" applyFill="1" applyBorder="1" applyAlignment="1">
      <alignment horizontal="left" textRotation="90"/>
    </xf>
    <xf numFmtId="43" fontId="1" fillId="0" borderId="0" xfId="47" applyBorder="1" applyAlignment="1">
      <alignment/>
    </xf>
    <xf numFmtId="0" fontId="18" fillId="27" borderId="41" xfId="0" applyFont="1" applyFill="1" applyBorder="1" applyAlignment="1">
      <alignment/>
    </xf>
    <xf numFmtId="0" fontId="18" fillId="29" borderId="41" xfId="0" applyFont="1" applyFill="1" applyBorder="1" applyAlignment="1">
      <alignment/>
    </xf>
    <xf numFmtId="43" fontId="1" fillId="0" borderId="40" xfId="47" applyBorder="1" applyAlignment="1">
      <alignment wrapText="1"/>
    </xf>
    <xf numFmtId="43" fontId="24" fillId="92" borderId="40" xfId="0" applyNumberFormat="1" applyFont="1" applyFill="1" applyBorder="1" applyAlignment="1">
      <alignment horizontal="right"/>
    </xf>
    <xf numFmtId="1" fontId="22" fillId="33" borderId="40" xfId="55" applyNumberFormat="1" applyFont="1" applyFill="1" applyBorder="1" applyAlignment="1">
      <alignment horizontal="right"/>
    </xf>
    <xf numFmtId="4" fontId="24" fillId="26" borderId="40" xfId="0" applyNumberFormat="1" applyFont="1" applyFill="1" applyBorder="1" applyAlignment="1">
      <alignment horizontal="left"/>
    </xf>
    <xf numFmtId="4" fontId="18" fillId="75" borderId="40" xfId="0" applyNumberFormat="1" applyFont="1" applyFill="1" applyBorder="1" applyAlignment="1">
      <alignment horizontal="right" vertical="center" wrapText="1"/>
    </xf>
    <xf numFmtId="4" fontId="18" fillId="0" borderId="67" xfId="0" applyNumberFormat="1" applyFont="1" applyBorder="1" applyAlignment="1">
      <alignment horizontal="right"/>
    </xf>
    <xf numFmtId="4" fontId="18" fillId="0" borderId="40" xfId="0" applyNumberFormat="1" applyFont="1" applyFill="1" applyBorder="1" applyAlignment="1">
      <alignment horizontal="right" wrapText="1"/>
    </xf>
    <xf numFmtId="4" fontId="18" fillId="27" borderId="67" xfId="0" applyNumberFormat="1" applyFont="1" applyFill="1" applyBorder="1" applyAlignment="1">
      <alignment horizontal="right"/>
    </xf>
    <xf numFmtId="4" fontId="24" fillId="0" borderId="40" xfId="0" applyNumberFormat="1" applyFont="1" applyFill="1" applyBorder="1" applyAlignment="1">
      <alignment horizontal="left"/>
    </xf>
    <xf numFmtId="43" fontId="1" fillId="0" borderId="40" xfId="47" applyFill="1" applyBorder="1" applyAlignment="1">
      <alignment horizontal="left"/>
    </xf>
    <xf numFmtId="2" fontId="24" fillId="0" borderId="40" xfId="0" applyNumberFormat="1" applyFont="1" applyFill="1" applyBorder="1" applyAlignment="1">
      <alignment horizontal="left"/>
    </xf>
    <xf numFmtId="171" fontId="24" fillId="29" borderId="40" xfId="0" applyNumberFormat="1" applyFont="1" applyFill="1" applyBorder="1" applyAlignment="1">
      <alignment horizontal="right" vertical="center" wrapText="1"/>
    </xf>
    <xf numFmtId="0" fontId="18" fillId="0" borderId="67" xfId="0" applyFont="1" applyBorder="1" applyAlignment="1">
      <alignment horizontal="left"/>
    </xf>
    <xf numFmtId="4" fontId="18" fillId="75" borderId="21" xfId="0" applyNumberFormat="1" applyFont="1" applyFill="1" applyBorder="1" applyAlignment="1">
      <alignment horizontal="right" vertical="center" wrapText="1"/>
    </xf>
    <xf numFmtId="0" fontId="24" fillId="0" borderId="21" xfId="0" applyFont="1" applyBorder="1" applyAlignment="1">
      <alignment horizontal="left" wrapText="1"/>
    </xf>
    <xf numFmtId="0" fontId="24" fillId="0" borderId="56" xfId="0" applyFont="1" applyBorder="1" applyAlignment="1">
      <alignment horizontal="left" wrapText="1"/>
    </xf>
    <xf numFmtId="0" fontId="21" fillId="0" borderId="56" xfId="0" applyFont="1" applyBorder="1" applyAlignment="1">
      <alignment wrapText="1"/>
    </xf>
    <xf numFmtId="0" fontId="21" fillId="0" borderId="57" xfId="0" applyFont="1" applyBorder="1" applyAlignment="1">
      <alignment wrapText="1"/>
    </xf>
    <xf numFmtId="3" fontId="22" fillId="26" borderId="15" xfId="53" applyNumberFormat="1" applyFont="1" applyFill="1" applyBorder="1" applyAlignment="1" applyProtection="1">
      <alignment wrapText="1"/>
      <protection locked="0"/>
    </xf>
    <xf numFmtId="43" fontId="23" fillId="88" borderId="0" xfId="47" applyNumberFormat="1" applyFont="1" applyFill="1" applyBorder="1" applyAlignment="1">
      <alignment/>
    </xf>
    <xf numFmtId="0" fontId="24" fillId="87" borderId="25" xfId="0" applyFont="1" applyFill="1" applyBorder="1" applyAlignment="1">
      <alignment wrapText="1"/>
    </xf>
    <xf numFmtId="10" fontId="22" fillId="30" borderId="15" xfId="55" applyNumberFormat="1" applyFont="1" applyFill="1" applyBorder="1" applyAlignment="1">
      <alignment/>
    </xf>
    <xf numFmtId="10" fontId="22" fillId="30" borderId="40" xfId="55" applyNumberFormat="1" applyFont="1" applyFill="1" applyBorder="1" applyAlignment="1">
      <alignment/>
    </xf>
    <xf numFmtId="10" fontId="22" fillId="26" borderId="40" xfId="55" applyNumberFormat="1" applyFont="1" applyFill="1" applyBorder="1" applyAlignment="1">
      <alignment/>
    </xf>
    <xf numFmtId="10" fontId="22" fillId="30" borderId="0" xfId="55" applyNumberFormat="1" applyFont="1" applyFill="1" applyBorder="1" applyAlignment="1">
      <alignment/>
    </xf>
    <xf numFmtId="10" fontId="22" fillId="30" borderId="19" xfId="55" applyNumberFormat="1" applyFont="1" applyFill="1" applyBorder="1" applyAlignment="1">
      <alignment/>
    </xf>
    <xf numFmtId="10" fontId="22" fillId="30" borderId="62" xfId="55" applyNumberFormat="1" applyFont="1" applyFill="1" applyBorder="1" applyAlignment="1">
      <alignment/>
    </xf>
    <xf numFmtId="10" fontId="22" fillId="30" borderId="65" xfId="55" applyNumberFormat="1" applyFont="1" applyFill="1" applyBorder="1" applyAlignment="1">
      <alignment/>
    </xf>
    <xf numFmtId="10" fontId="22" fillId="30" borderId="41" xfId="55" applyNumberFormat="1" applyFont="1" applyFill="1" applyBorder="1" applyAlignment="1">
      <alignment/>
    </xf>
    <xf numFmtId="49" fontId="24" fillId="86" borderId="38" xfId="0" applyNumberFormat="1" applyFont="1" applyFill="1" applyBorder="1" applyAlignment="1">
      <alignment wrapText="1"/>
    </xf>
    <xf numFmtId="0" fontId="19" fillId="62" borderId="15" xfId="0" applyFont="1" applyFill="1" applyBorder="1" applyAlignment="1">
      <alignment/>
    </xf>
    <xf numFmtId="10" fontId="22" fillId="32" borderId="0" xfId="55" applyNumberFormat="1" applyFont="1" applyFill="1" applyBorder="1" applyAlignment="1">
      <alignment/>
    </xf>
    <xf numFmtId="10" fontId="22" fillId="32" borderId="15" xfId="55" applyNumberFormat="1" applyFont="1" applyFill="1" applyBorder="1" applyAlignment="1">
      <alignment/>
    </xf>
    <xf numFmtId="0" fontId="18" fillId="0" borderId="0" xfId="0" applyFont="1" applyFill="1" applyBorder="1" applyAlignment="1">
      <alignment wrapText="1"/>
    </xf>
    <xf numFmtId="43" fontId="1" fillId="27" borderId="0" xfId="47" applyFill="1" applyAlignment="1">
      <alignment/>
    </xf>
    <xf numFmtId="4" fontId="18" fillId="27" borderId="15" xfId="0" applyNumberFormat="1" applyFont="1" applyFill="1" applyBorder="1" applyAlignment="1">
      <alignment/>
    </xf>
    <xf numFmtId="4" fontId="24" fillId="27" borderId="28" xfId="0" applyNumberFormat="1" applyFont="1" applyFill="1" applyBorder="1" applyAlignment="1">
      <alignment/>
    </xf>
    <xf numFmtId="4" fontId="24" fillId="27" borderId="62" xfId="0" applyNumberFormat="1" applyFont="1" applyFill="1" applyBorder="1" applyAlignment="1">
      <alignment/>
    </xf>
    <xf numFmtId="4" fontId="24" fillId="27" borderId="64" xfId="0" applyNumberFormat="1" applyFont="1" applyFill="1" applyBorder="1" applyAlignment="1">
      <alignment/>
    </xf>
    <xf numFmtId="4" fontId="24" fillId="27" borderId="40" xfId="0" applyNumberFormat="1" applyFont="1" applyFill="1" applyBorder="1" applyAlignment="1">
      <alignment/>
    </xf>
    <xf numFmtId="2" fontId="24" fillId="27" borderId="15" xfId="0" applyNumberFormat="1" applyFont="1" applyFill="1" applyBorder="1" applyAlignment="1">
      <alignment/>
    </xf>
    <xf numFmtId="2" fontId="24" fillId="27" borderId="19" xfId="0" applyNumberFormat="1" applyFont="1" applyFill="1" applyBorder="1" applyAlignment="1">
      <alignment/>
    </xf>
    <xf numFmtId="10" fontId="1" fillId="88" borderId="39" xfId="55" applyNumberFormat="1" applyFill="1" applyBorder="1" applyAlignment="1">
      <alignment/>
    </xf>
    <xf numFmtId="171" fontId="19" fillId="38" borderId="32" xfId="0" applyNumberFormat="1" applyFont="1" applyFill="1" applyBorder="1" applyAlignment="1">
      <alignment/>
    </xf>
    <xf numFmtId="0" fontId="24" fillId="27" borderId="0" xfId="0" applyFont="1" applyFill="1" applyBorder="1" applyAlignment="1">
      <alignment horizontal="right"/>
    </xf>
    <xf numFmtId="0" fontId="27" fillId="0" borderId="62" xfId="0" applyFont="1" applyFill="1" applyBorder="1" applyAlignment="1">
      <alignment/>
    </xf>
    <xf numFmtId="10" fontId="1" fillId="0" borderId="0" xfId="47" applyNumberFormat="1" applyFill="1" applyBorder="1" applyAlignment="1">
      <alignment horizontal="right" vertical="center" wrapText="1"/>
    </xf>
    <xf numFmtId="0" fontId="33" fillId="0" borderId="0" xfId="0" applyFont="1" applyAlignment="1">
      <alignment horizontal="center"/>
    </xf>
    <xf numFmtId="0" fontId="34" fillId="105" borderId="0" xfId="0" applyFont="1" applyFill="1" applyBorder="1" applyAlignment="1">
      <alignment horizontal="center" vertical="center"/>
    </xf>
    <xf numFmtId="0" fontId="35" fillId="0" borderId="15" xfId="0" applyFont="1" applyBorder="1" applyAlignment="1">
      <alignment horizontal="center"/>
    </xf>
    <xf numFmtId="0" fontId="32" fillId="0" borderId="15" xfId="0" applyFont="1" applyFill="1" applyBorder="1" applyAlignment="1">
      <alignment horizontal="left" vertical="center" wrapText="1"/>
    </xf>
    <xf numFmtId="0" fontId="30" fillId="82" borderId="15" xfId="0" applyFont="1" applyFill="1" applyBorder="1" applyAlignment="1">
      <alignment horizontal="left" vertical="center" wrapText="1"/>
    </xf>
    <xf numFmtId="0" fontId="30" fillId="83" borderId="19" xfId="0" applyFont="1" applyFill="1" applyBorder="1" applyAlignment="1">
      <alignment horizontal="left" vertical="center" wrapText="1"/>
    </xf>
    <xf numFmtId="0" fontId="30" fillId="83" borderId="28" xfId="0" applyFont="1" applyFill="1" applyBorder="1" applyAlignment="1">
      <alignment horizontal="left" vertical="center" wrapText="1"/>
    </xf>
    <xf numFmtId="0" fontId="30" fillId="83" borderId="23" xfId="0" applyFont="1" applyFill="1" applyBorder="1" applyAlignment="1">
      <alignment horizontal="left" vertical="center" wrapText="1"/>
    </xf>
    <xf numFmtId="0" fontId="31" fillId="83" borderId="15" xfId="0" applyFont="1" applyFill="1" applyBorder="1" applyAlignment="1">
      <alignment horizontal="left" vertical="center" wrapText="1"/>
    </xf>
    <xf numFmtId="0" fontId="31" fillId="89" borderId="15" xfId="0" applyFont="1" applyFill="1" applyBorder="1" applyAlignment="1">
      <alignment horizontal="left" vertical="center" wrapText="1"/>
    </xf>
    <xf numFmtId="0" fontId="39" fillId="0" borderId="0" xfId="0" applyFont="1" applyAlignment="1">
      <alignment horizontal="left"/>
    </xf>
    <xf numFmtId="0" fontId="31" fillId="106" borderId="15" xfId="0" applyFont="1" applyFill="1" applyBorder="1" applyAlignment="1">
      <alignment horizontal="left" vertical="center" wrapText="1"/>
    </xf>
    <xf numFmtId="0" fontId="31" fillId="99" borderId="15" xfId="0" applyFont="1" applyFill="1" applyBorder="1" applyAlignment="1">
      <alignment horizontal="left" vertical="center" wrapText="1"/>
    </xf>
    <xf numFmtId="0" fontId="51" fillId="89" borderId="15" xfId="0" applyFont="1" applyFill="1" applyBorder="1" applyAlignment="1">
      <alignment horizontal="left" vertical="center" wrapText="1"/>
    </xf>
    <xf numFmtId="0" fontId="51" fillId="106" borderId="15" xfId="0" applyFont="1" applyFill="1" applyBorder="1" applyAlignment="1">
      <alignment horizontal="left" vertical="center" wrapText="1"/>
    </xf>
    <xf numFmtId="0" fontId="51" fillId="99" borderId="15" xfId="0" applyFont="1" applyFill="1" applyBorder="1" applyAlignment="1">
      <alignment horizontal="left" vertical="center" wrapText="1"/>
    </xf>
    <xf numFmtId="0" fontId="50" fillId="105" borderId="0" xfId="0" applyFont="1" applyFill="1" applyBorder="1" applyAlignment="1">
      <alignment horizontal="center" vertical="center"/>
    </xf>
    <xf numFmtId="0" fontId="37" fillId="82" borderId="15"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32" fillId="0" borderId="69" xfId="0" applyFont="1" applyFill="1" applyBorder="1" applyAlignment="1">
      <alignment horizontal="left" vertical="center" wrapText="1"/>
    </xf>
    <xf numFmtId="0" fontId="32" fillId="0" borderId="70" xfId="0" applyFont="1" applyFill="1" applyBorder="1" applyAlignment="1">
      <alignment horizontal="left" vertical="center" wrapText="1"/>
    </xf>
    <xf numFmtId="0" fontId="37" fillId="83" borderId="15" xfId="0" applyFont="1" applyFill="1" applyBorder="1" applyAlignment="1">
      <alignment horizontal="left" vertical="center" wrapText="1"/>
    </xf>
    <xf numFmtId="0" fontId="51" fillId="83" borderId="15" xfId="0" applyFont="1" applyFill="1" applyBorder="1" applyAlignment="1">
      <alignment horizontal="left" vertical="center" wrapText="1"/>
    </xf>
    <xf numFmtId="0" fontId="54" fillId="102" borderId="15" xfId="0" applyFont="1" applyFill="1" applyBorder="1" applyAlignment="1">
      <alignment horizontal="center" vertical="center" textRotation="90" wrapText="1"/>
    </xf>
    <xf numFmtId="0" fontId="50" fillId="105" borderId="69" xfId="0" applyFont="1" applyFill="1" applyBorder="1" applyAlignment="1">
      <alignment horizontal="center" vertical="center"/>
    </xf>
    <xf numFmtId="0" fontId="52" fillId="0" borderId="15" xfId="0" applyFont="1" applyBorder="1" applyAlignment="1">
      <alignment horizontal="center"/>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23" xfId="0" applyFont="1" applyFill="1" applyBorder="1" applyAlignment="1">
      <alignment horizontal="center" vertical="center" wrapText="1"/>
    </xf>
    <xf numFmtId="0" fontId="31" fillId="83" borderId="71" xfId="0" applyFont="1" applyFill="1" applyBorder="1" applyAlignment="1">
      <alignment horizontal="left" vertical="center" wrapText="1"/>
    </xf>
    <xf numFmtId="0" fontId="31" fillId="83" borderId="72" xfId="0" applyFont="1" applyFill="1" applyBorder="1" applyAlignment="1">
      <alignment horizontal="left" vertical="center" wrapText="1"/>
    </xf>
    <xf numFmtId="0" fontId="31" fillId="69" borderId="71" xfId="0" applyFont="1" applyFill="1" applyBorder="1" applyAlignment="1">
      <alignment horizontal="left" vertical="center" wrapText="1"/>
    </xf>
    <xf numFmtId="0" fontId="31" fillId="69" borderId="72" xfId="0" applyFont="1" applyFill="1" applyBorder="1" applyAlignment="1">
      <alignment horizontal="left" vertical="center" wrapText="1"/>
    </xf>
    <xf numFmtId="0" fontId="42" fillId="99" borderId="53" xfId="0" applyFont="1" applyFill="1" applyBorder="1" applyAlignment="1">
      <alignment horizontal="center" vertical="center" wrapText="1"/>
    </xf>
    <xf numFmtId="0" fontId="42" fillId="99" borderId="41" xfId="0" applyFont="1" applyFill="1" applyBorder="1" applyAlignment="1">
      <alignment horizontal="center" vertical="center" wrapText="1"/>
    </xf>
    <xf numFmtId="0" fontId="18" fillId="0" borderId="15" xfId="0" applyFont="1" applyBorder="1" applyAlignment="1">
      <alignment horizontal="center"/>
    </xf>
    <xf numFmtId="0" fontId="24"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0" borderId="21" xfId="0" applyFont="1" applyBorder="1" applyAlignment="1">
      <alignment horizontal="center"/>
    </xf>
    <xf numFmtId="0" fontId="18" fillId="0" borderId="22" xfId="0" applyFont="1" applyBorder="1" applyAlignment="1">
      <alignment horizontal="center"/>
    </xf>
    <xf numFmtId="0" fontId="30" fillId="34" borderId="35" xfId="0" applyFont="1" applyFill="1" applyBorder="1" applyAlignment="1">
      <alignment horizontal="left" vertical="center" wrapText="1"/>
    </xf>
    <xf numFmtId="0" fontId="30" fillId="34" borderId="36" xfId="0" applyFont="1" applyFill="1" applyBorder="1" applyAlignment="1">
      <alignment horizontal="left" vertical="center" wrapText="1"/>
    </xf>
    <xf numFmtId="0" fontId="25" fillId="26" borderId="19" xfId="0" applyFont="1" applyFill="1" applyBorder="1" applyAlignment="1">
      <alignment horizontal="center" vertical="center" wrapText="1"/>
    </xf>
    <xf numFmtId="0" fontId="25" fillId="26" borderId="28" xfId="0" applyFont="1" applyFill="1" applyBorder="1" applyAlignment="1">
      <alignment horizontal="center" vertical="center" wrapText="1"/>
    </xf>
    <xf numFmtId="0" fontId="25" fillId="26" borderId="23" xfId="0" applyFont="1" applyFill="1" applyBorder="1" applyAlignment="1">
      <alignment horizontal="center" vertical="center" wrapText="1"/>
    </xf>
    <xf numFmtId="0" fontId="42" fillId="99" borderId="28" xfId="0" applyFont="1" applyFill="1" applyBorder="1" applyAlignment="1">
      <alignment horizontal="center" vertical="center" wrapText="1"/>
    </xf>
    <xf numFmtId="0" fontId="32" fillId="34" borderId="71" xfId="0" applyFont="1" applyFill="1" applyBorder="1" applyAlignment="1">
      <alignment horizontal="left" vertical="center" wrapText="1"/>
    </xf>
    <xf numFmtId="0" fontId="32" fillId="34" borderId="72" xfId="0" applyFont="1" applyFill="1" applyBorder="1" applyAlignment="1">
      <alignment horizontal="left" vertical="center" wrapText="1"/>
    </xf>
    <xf numFmtId="0" fontId="40" fillId="0" borderId="19"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3" xfId="0" applyFont="1" applyBorder="1" applyAlignment="1">
      <alignment horizontal="center" vertical="center" wrapText="1"/>
    </xf>
    <xf numFmtId="0" fontId="49" fillId="0" borderId="15" xfId="0" applyFont="1" applyBorder="1" applyAlignment="1">
      <alignment horizontal="center"/>
    </xf>
    <xf numFmtId="0" fontId="41" fillId="84" borderId="53" xfId="0" applyFont="1" applyFill="1" applyBorder="1" applyAlignment="1">
      <alignment horizontal="center" vertical="center" wrapText="1"/>
    </xf>
    <xf numFmtId="0" fontId="41" fillId="84" borderId="41" xfId="0" applyFont="1" applyFill="1" applyBorder="1" applyAlignment="1">
      <alignment horizontal="center" vertical="center" wrapText="1"/>
    </xf>
    <xf numFmtId="0" fontId="40" fillId="0" borderId="53"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41" xfId="0" applyFont="1" applyFill="1" applyBorder="1" applyAlignment="1">
      <alignment horizontal="center" vertical="center" wrapText="1"/>
    </xf>
    <xf numFmtId="4" fontId="19" fillId="107" borderId="73" xfId="0" applyNumberFormat="1" applyFont="1" applyFill="1" applyBorder="1" applyAlignment="1">
      <alignment horizontal="center" vertical="center" wrapText="1"/>
    </xf>
    <xf numFmtId="4" fontId="19" fillId="107" borderId="72" xfId="0" applyNumberFormat="1" applyFont="1" applyFill="1" applyBorder="1" applyAlignment="1">
      <alignment horizontal="center" vertical="center" wrapText="1"/>
    </xf>
    <xf numFmtId="4" fontId="19" fillId="107" borderId="74" xfId="0" applyNumberFormat="1" applyFont="1" applyFill="1" applyBorder="1" applyAlignment="1">
      <alignment horizontal="center" vertical="center" wrapText="1"/>
    </xf>
    <xf numFmtId="43" fontId="1" fillId="10" borderId="71" xfId="47" applyFont="1" applyFill="1" applyBorder="1" applyAlignment="1">
      <alignment horizontal="center"/>
    </xf>
    <xf numFmtId="43" fontId="1" fillId="10" borderId="72" xfId="47" applyFill="1" applyBorder="1" applyAlignment="1">
      <alignment horizontal="center"/>
    </xf>
    <xf numFmtId="43" fontId="1" fillId="10" borderId="74" xfId="47" applyFill="1" applyBorder="1" applyAlignment="1">
      <alignment horizontal="center"/>
    </xf>
    <xf numFmtId="0" fontId="19" fillId="39" borderId="44" xfId="0" applyFont="1" applyFill="1" applyBorder="1" applyAlignment="1">
      <alignment horizontal="center" vertical="top" textRotation="90" wrapText="1"/>
    </xf>
    <xf numFmtId="0" fontId="19" fillId="39" borderId="32" xfId="0" applyFont="1" applyFill="1" applyBorder="1" applyAlignment="1">
      <alignment horizontal="center" vertical="top" textRotation="90" wrapText="1"/>
    </xf>
    <xf numFmtId="10" fontId="22" fillId="30" borderId="44" xfId="55" applyNumberFormat="1" applyFont="1" applyFill="1" applyBorder="1" applyAlignment="1" applyProtection="1">
      <alignment wrapText="1"/>
      <protection locked="0"/>
    </xf>
    <xf numFmtId="10" fontId="22" fillId="30" borderId="32" xfId="55" applyNumberFormat="1" applyFont="1" applyFill="1" applyBorder="1" applyAlignment="1" applyProtection="1">
      <alignment wrapText="1"/>
      <protection locked="0"/>
    </xf>
    <xf numFmtId="0" fontId="18" fillId="108" borderId="0" xfId="0" applyFont="1" applyFill="1" applyAlignment="1">
      <alignment horizontal="center"/>
    </xf>
    <xf numFmtId="0" fontId="18" fillId="108" borderId="45" xfId="0" applyFont="1" applyFill="1" applyBorder="1" applyAlignment="1">
      <alignment horizontal="center"/>
    </xf>
    <xf numFmtId="0" fontId="19" fillId="10" borderId="75" xfId="0" applyFont="1" applyFill="1" applyBorder="1" applyAlignment="1">
      <alignment horizontal="center" wrapText="1"/>
    </xf>
    <xf numFmtId="0" fontId="19" fillId="10" borderId="76" xfId="0" applyFont="1" applyFill="1" applyBorder="1" applyAlignment="1">
      <alignment horizontal="center" wrapText="1"/>
    </xf>
    <xf numFmtId="0" fontId="19" fillId="10" borderId="77" xfId="0" applyFont="1" applyFill="1" applyBorder="1" applyAlignment="1">
      <alignment horizontal="center" wrapText="1"/>
    </xf>
    <xf numFmtId="0" fontId="30" fillId="83" borderId="71" xfId="0" applyFont="1" applyFill="1" applyBorder="1" applyAlignment="1">
      <alignment horizontal="center" vertical="center" wrapText="1"/>
    </xf>
    <xf numFmtId="0" fontId="30" fillId="83" borderId="72" xfId="0" applyFont="1" applyFill="1" applyBorder="1" applyAlignment="1">
      <alignment horizontal="center" vertical="center" wrapText="1"/>
    </xf>
    <xf numFmtId="0" fontId="30" fillId="34" borderId="21" xfId="0" applyFont="1" applyFill="1" applyBorder="1" applyAlignment="1">
      <alignment horizontal="left" vertical="center" wrapText="1"/>
    </xf>
    <xf numFmtId="0" fontId="30" fillId="34" borderId="49" xfId="0" applyFont="1" applyFill="1" applyBorder="1" applyAlignment="1">
      <alignment horizontal="left" vertical="center" wrapText="1"/>
    </xf>
    <xf numFmtId="0" fontId="30" fillId="82" borderId="75" xfId="0" applyFont="1" applyFill="1" applyBorder="1" applyAlignment="1">
      <alignment horizontal="left" vertical="center" wrapText="1"/>
    </xf>
    <xf numFmtId="0" fontId="30" fillId="82" borderId="76" xfId="0" applyFont="1" applyFill="1" applyBorder="1" applyAlignment="1">
      <alignment horizontal="left" vertical="center" wrapText="1"/>
    </xf>
    <xf numFmtId="43" fontId="22" fillId="41" borderId="44" xfId="47" applyFont="1" applyFill="1" applyBorder="1" applyAlignment="1">
      <alignment horizontal="center" vertical="center" wrapText="1"/>
    </xf>
    <xf numFmtId="43" fontId="22" fillId="41" borderId="0" xfId="47" applyFont="1" applyFill="1" applyBorder="1" applyAlignment="1">
      <alignment horizontal="center" vertical="center" wrapText="1"/>
    </xf>
    <xf numFmtId="43" fontId="22" fillId="41" borderId="32" xfId="47" applyFont="1" applyFill="1" applyBorder="1" applyAlignment="1">
      <alignment horizontal="center" vertical="center" wrapText="1"/>
    </xf>
    <xf numFmtId="0" fontId="19" fillId="41" borderId="34" xfId="0" applyFont="1" applyFill="1" applyBorder="1" applyAlignment="1">
      <alignment horizontal="center" vertical="center" wrapText="1"/>
    </xf>
    <xf numFmtId="0" fontId="19" fillId="41" borderId="68" xfId="0" applyFont="1" applyFill="1" applyBorder="1" applyAlignment="1">
      <alignment horizontal="center" vertical="center" wrapText="1"/>
    </xf>
    <xf numFmtId="0" fontId="19" fillId="41" borderId="78" xfId="0" applyFont="1" applyFill="1" applyBorder="1" applyAlignment="1">
      <alignment horizontal="center" vertical="center" wrapText="1"/>
    </xf>
    <xf numFmtId="0" fontId="19" fillId="41" borderId="19" xfId="0" applyFont="1" applyFill="1" applyBorder="1" applyAlignment="1">
      <alignment horizontal="center" vertical="center" wrapText="1"/>
    </xf>
    <xf numFmtId="0" fontId="19" fillId="41" borderId="28" xfId="0" applyFont="1" applyFill="1" applyBorder="1" applyAlignment="1">
      <alignment horizontal="center" vertical="center" wrapText="1"/>
    </xf>
    <xf numFmtId="0" fontId="19" fillId="41" borderId="5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19" fillId="107" borderId="79" xfId="0" applyFont="1" applyFill="1" applyBorder="1" applyAlignment="1">
      <alignment horizontal="center" vertical="center" textRotation="90" wrapText="1"/>
    </xf>
    <xf numFmtId="0" fontId="19" fillId="107" borderId="80" xfId="0" applyFont="1" applyFill="1" applyBorder="1" applyAlignment="1">
      <alignment horizontal="center" vertical="center" textRotation="90" wrapText="1"/>
    </xf>
    <xf numFmtId="43" fontId="55" fillId="0" borderId="0" xfId="47" applyNumberFormat="1" applyFont="1" applyAlignment="1">
      <alignment horizontal="center"/>
    </xf>
    <xf numFmtId="0" fontId="25" fillId="0" borderId="15" xfId="0" applyFont="1" applyBorder="1" applyAlignment="1">
      <alignment horizontal="center"/>
    </xf>
    <xf numFmtId="0" fontId="24" fillId="0" borderId="15" xfId="0" applyFont="1" applyFill="1" applyBorder="1" applyAlignment="1">
      <alignment horizontal="center" wrapText="1"/>
    </xf>
    <xf numFmtId="0" fontId="18" fillId="87" borderId="24" xfId="0" applyFont="1" applyFill="1" applyBorder="1" applyAlignment="1">
      <alignment horizontal="center"/>
    </xf>
    <xf numFmtId="0" fontId="18" fillId="87" borderId="25" xfId="0" applyFont="1" applyFill="1" applyBorder="1" applyAlignment="1">
      <alignment horizontal="center"/>
    </xf>
    <xf numFmtId="0" fontId="18" fillId="87" borderId="26" xfId="0" applyFont="1" applyFill="1" applyBorder="1" applyAlignment="1">
      <alignment horizontal="center"/>
    </xf>
    <xf numFmtId="4" fontId="19" fillId="107" borderId="27" xfId="0" applyNumberFormat="1" applyFont="1" applyFill="1" applyBorder="1" applyAlignment="1">
      <alignment horizontal="center" vertical="center" wrapText="1"/>
    </xf>
    <xf numFmtId="4" fontId="19" fillId="107" borderId="68" xfId="0" applyNumberFormat="1" applyFont="1" applyFill="1" applyBorder="1" applyAlignment="1">
      <alignment horizontal="center" vertical="center" wrapText="1"/>
    </xf>
    <xf numFmtId="4" fontId="19" fillId="107" borderId="78" xfId="0" applyNumberFormat="1" applyFont="1" applyFill="1" applyBorder="1" applyAlignment="1">
      <alignment horizontal="center" vertical="center" wrapText="1"/>
    </xf>
    <xf numFmtId="43" fontId="1" fillId="39" borderId="56" xfId="47" applyFill="1" applyBorder="1" applyAlignment="1">
      <alignment horizontal="center" vertical="top" textRotation="90" wrapText="1"/>
    </xf>
    <xf numFmtId="43" fontId="1" fillId="39" borderId="57" xfId="47" applyFill="1" applyBorder="1" applyAlignment="1">
      <alignment horizontal="center" vertical="top" textRotation="90" wrapText="1"/>
    </xf>
    <xf numFmtId="9" fontId="22" fillId="30" borderId="44" xfId="55" applyFont="1" applyFill="1" applyBorder="1" applyAlignment="1" applyProtection="1">
      <alignment horizontal="center" vertical="center" wrapText="1"/>
      <protection locked="0"/>
    </xf>
    <xf numFmtId="9" fontId="22" fillId="30" borderId="32" xfId="55" applyFont="1" applyFill="1" applyBorder="1" applyAlignment="1" applyProtection="1">
      <alignment horizontal="center" vertical="center" wrapText="1"/>
      <protection locked="0"/>
    </xf>
    <xf numFmtId="0" fontId="24" fillId="27" borderId="24" xfId="0" applyFont="1" applyFill="1" applyBorder="1" applyAlignment="1">
      <alignment horizontal="center" vertical="center"/>
    </xf>
    <xf numFmtId="0" fontId="24" fillId="27" borderId="25" xfId="0" applyFont="1" applyFill="1" applyBorder="1" applyAlignment="1">
      <alignment horizontal="center" vertical="center"/>
    </xf>
    <xf numFmtId="0" fontId="24" fillId="27" borderId="26" xfId="0" applyFont="1" applyFill="1" applyBorder="1" applyAlignment="1">
      <alignment horizontal="center" vertical="center"/>
    </xf>
    <xf numFmtId="0" fontId="19" fillId="0" borderId="0" xfId="0" applyFont="1" applyFill="1" applyBorder="1" applyAlignment="1">
      <alignment horizontal="center" wrapText="1"/>
    </xf>
    <xf numFmtId="0" fontId="24" fillId="0" borderId="0" xfId="0" applyFont="1" applyFill="1" applyBorder="1" applyAlignment="1">
      <alignment horizontal="center" vertical="center" wrapText="1"/>
    </xf>
    <xf numFmtId="0" fontId="18" fillId="0" borderId="0" xfId="0" applyFont="1" applyAlignment="1">
      <alignment horizontal="center" wrapText="1"/>
    </xf>
    <xf numFmtId="49" fontId="28" fillId="26" borderId="24" xfId="0" applyNumberFormat="1" applyFont="1" applyFill="1" applyBorder="1" applyAlignment="1">
      <alignment horizontal="center" vertical="center" wrapText="1"/>
    </xf>
    <xf numFmtId="49" fontId="28" fillId="26" borderId="26" xfId="0" applyNumberFormat="1" applyFont="1" applyFill="1" applyBorder="1" applyAlignment="1">
      <alignment horizontal="center" vertical="center" wrapText="1"/>
    </xf>
    <xf numFmtId="0" fontId="24" fillId="27" borderId="21" xfId="0" applyFont="1" applyFill="1" applyBorder="1" applyAlignment="1">
      <alignment horizontal="center" vertical="center" wrapText="1"/>
    </xf>
    <xf numFmtId="0" fontId="24" fillId="27" borderId="49" xfId="0" applyFont="1" applyFill="1" applyBorder="1" applyAlignment="1">
      <alignment horizontal="center" vertical="center" wrapText="1"/>
    </xf>
    <xf numFmtId="0" fontId="24" fillId="27" borderId="22" xfId="0" applyFont="1" applyFill="1" applyBorder="1" applyAlignment="1">
      <alignment horizontal="center" vertical="center" wrapText="1"/>
    </xf>
    <xf numFmtId="0" fontId="24" fillId="0" borderId="0" xfId="0" applyFont="1" applyFill="1" applyBorder="1" applyAlignment="1">
      <alignment horizontal="center" wrapText="1"/>
    </xf>
    <xf numFmtId="0" fontId="18" fillId="0" borderId="0" xfId="0" applyFont="1" applyBorder="1" applyAlignment="1">
      <alignment horizontal="center"/>
    </xf>
    <xf numFmtId="3" fontId="22" fillId="26" borderId="15" xfId="53" applyNumberFormat="1" applyFont="1" applyFill="1" applyBorder="1" applyAlignment="1" applyProtection="1">
      <alignment horizontal="center" vertical="center" wrapText="1"/>
      <protection locked="0"/>
    </xf>
    <xf numFmtId="10" fontId="22" fillId="33" borderId="15" xfId="55" applyNumberFormat="1" applyFont="1" applyFill="1" applyBorder="1" applyAlignment="1">
      <alignment horizontal="center"/>
    </xf>
    <xf numFmtId="10" fontId="22" fillId="33" borderId="15" xfId="55" applyNumberFormat="1" applyFont="1" applyFill="1" applyBorder="1" applyAlignment="1" applyProtection="1">
      <alignment horizontal="center" vertical="center" wrapText="1"/>
      <protection locked="0"/>
    </xf>
    <xf numFmtId="3" fontId="22" fillId="26" borderId="15" xfId="53" applyNumberFormat="1" applyFont="1" applyFill="1" applyBorder="1" applyAlignment="1" applyProtection="1">
      <alignment horizontal="center" vertical="center" wrapText="1"/>
      <protection/>
    </xf>
    <xf numFmtId="9" fontId="22" fillId="33" borderId="15" xfId="55" applyFont="1" applyFill="1" applyBorder="1" applyAlignment="1" applyProtection="1">
      <alignment horizontal="center" vertical="center" wrapText="1"/>
      <protection locked="0"/>
    </xf>
    <xf numFmtId="3" fontId="24" fillId="26" borderId="15" xfId="0" applyNumberFormat="1" applyFont="1" applyFill="1" applyBorder="1" applyAlignment="1">
      <alignment horizontal="center" vertical="center"/>
    </xf>
    <xf numFmtId="0" fontId="19" fillId="41" borderId="23" xfId="0" applyFont="1" applyFill="1" applyBorder="1" applyAlignment="1">
      <alignment horizontal="center" vertical="center" wrapText="1"/>
    </xf>
    <xf numFmtId="0" fontId="24" fillId="27" borderId="15" xfId="0" applyFont="1" applyFill="1" applyBorder="1" applyAlignment="1">
      <alignment horizontal="center" vertical="center" wrapText="1"/>
    </xf>
    <xf numFmtId="3" fontId="22" fillId="27" borderId="15" xfId="0" applyNumberFormat="1" applyFont="1" applyFill="1" applyBorder="1" applyAlignment="1" applyProtection="1">
      <alignment horizontal="center" vertical="center" wrapText="1"/>
      <protection locked="0"/>
    </xf>
    <xf numFmtId="0" fontId="19" fillId="41" borderId="15" xfId="0" applyFont="1" applyFill="1" applyBorder="1" applyAlignment="1">
      <alignment horizontal="center" vertical="center" wrapText="1"/>
    </xf>
    <xf numFmtId="4" fontId="19" fillId="39" borderId="15" xfId="0" applyNumberFormat="1" applyFont="1" applyFill="1" applyBorder="1" applyAlignment="1">
      <alignment horizontal="center" vertical="center" wrapText="1"/>
    </xf>
    <xf numFmtId="4" fontId="19" fillId="98" borderId="15" xfId="0" applyNumberFormat="1" applyFont="1" applyFill="1" applyBorder="1" applyAlignment="1">
      <alignment horizontal="center" vertical="center" wrapText="1"/>
    </xf>
    <xf numFmtId="43" fontId="23" fillId="48" borderId="15" xfId="47" applyFont="1" applyFill="1" applyBorder="1" applyAlignment="1">
      <alignment horizontal="center" vertical="center" wrapText="1"/>
    </xf>
    <xf numFmtId="0" fontId="19" fillId="47" borderId="15" xfId="0" applyFont="1" applyFill="1" applyBorder="1" applyAlignment="1">
      <alignment horizontal="center" vertical="center" wrapText="1"/>
    </xf>
    <xf numFmtId="0" fontId="20" fillId="39" borderId="15" xfId="0" applyFont="1" applyFill="1" applyBorder="1" applyAlignment="1">
      <alignment horizontal="center" vertical="center" wrapText="1"/>
    </xf>
    <xf numFmtId="0" fontId="19" fillId="40" borderId="15" xfId="0" applyFont="1" applyFill="1" applyBorder="1" applyAlignment="1">
      <alignment horizontal="center" vertical="center" wrapText="1"/>
    </xf>
    <xf numFmtId="0" fontId="19" fillId="41" borderId="15" xfId="0" applyFont="1" applyFill="1" applyBorder="1" applyAlignment="1">
      <alignment horizontal="left" vertical="center" wrapText="1"/>
    </xf>
    <xf numFmtId="0" fontId="19" fillId="29" borderId="19" xfId="0" applyFont="1" applyFill="1" applyBorder="1" applyAlignment="1">
      <alignment horizontal="center" vertical="center" wrapText="1"/>
    </xf>
    <xf numFmtId="0" fontId="19" fillId="29" borderId="23" xfId="0" applyFont="1" applyFill="1" applyBorder="1" applyAlignment="1">
      <alignment horizontal="center" vertical="center" wrapText="1"/>
    </xf>
    <xf numFmtId="49" fontId="20" fillId="6" borderId="15" xfId="0" applyNumberFormat="1" applyFont="1" applyFill="1" applyBorder="1" applyAlignment="1">
      <alignment vertical="center" wrapText="1"/>
    </xf>
    <xf numFmtId="49" fontId="20" fillId="6" borderId="15" xfId="0" applyNumberFormat="1" applyFont="1" applyFill="1" applyBorder="1" applyAlignment="1">
      <alignment horizontal="right" vertical="center" wrapText="1"/>
    </xf>
    <xf numFmtId="0" fontId="19" fillId="39" borderId="15" xfId="0" applyFont="1" applyFill="1" applyBorder="1" applyAlignment="1">
      <alignment horizontal="center" vertical="center" wrapText="1"/>
    </xf>
    <xf numFmtId="0" fontId="19" fillId="41" borderId="19" xfId="0" applyFont="1" applyFill="1" applyBorder="1" applyAlignment="1">
      <alignment horizontal="left" vertical="center" wrapText="1"/>
    </xf>
    <xf numFmtId="0" fontId="19" fillId="41" borderId="23" xfId="0" applyFont="1" applyFill="1" applyBorder="1" applyAlignment="1">
      <alignment horizontal="left" vertical="center" wrapText="1"/>
    </xf>
    <xf numFmtId="43" fontId="23" fillId="29" borderId="19" xfId="47" applyFont="1" applyFill="1" applyBorder="1" applyAlignment="1">
      <alignment horizontal="center" vertical="center" wrapText="1"/>
    </xf>
    <xf numFmtId="43" fontId="23" fillId="29" borderId="23" xfId="47" applyFont="1" applyFill="1" applyBorder="1" applyAlignment="1">
      <alignment horizontal="center" vertical="center" wrapText="1"/>
    </xf>
    <xf numFmtId="43" fontId="22" fillId="48" borderId="19" xfId="47" applyFont="1" applyFill="1" applyBorder="1" applyAlignment="1">
      <alignment horizontal="center" vertical="center" wrapText="1"/>
    </xf>
    <xf numFmtId="43" fontId="22" fillId="48" borderId="23" xfId="47" applyFont="1" applyFill="1" applyBorder="1" applyAlignment="1">
      <alignment horizontal="center" vertical="center" wrapText="1"/>
    </xf>
    <xf numFmtId="0" fontId="19" fillId="47" borderId="19" xfId="0" applyFont="1" applyFill="1" applyBorder="1" applyAlignment="1">
      <alignment horizontal="center" vertical="center" wrapText="1"/>
    </xf>
    <xf numFmtId="0" fontId="19" fillId="47" borderId="23" xfId="0" applyFont="1" applyFill="1" applyBorder="1" applyAlignment="1">
      <alignment horizontal="center" vertical="center" wrapText="1"/>
    </xf>
    <xf numFmtId="0" fontId="25" fillId="0" borderId="24" xfId="0" applyFont="1" applyBorder="1" applyAlignment="1">
      <alignment horizontal="center"/>
    </xf>
    <xf numFmtId="0" fontId="25" fillId="0" borderId="25" xfId="0" applyFont="1" applyBorder="1" applyAlignment="1">
      <alignment horizontal="center"/>
    </xf>
    <xf numFmtId="0" fontId="25" fillId="0" borderId="26" xfId="0" applyFont="1" applyBorder="1" applyAlignment="1">
      <alignment horizontal="center"/>
    </xf>
    <xf numFmtId="49" fontId="19" fillId="6" borderId="15" xfId="0" applyNumberFormat="1" applyFont="1" applyFill="1" applyBorder="1" applyAlignment="1">
      <alignment vertical="center" wrapText="1"/>
    </xf>
    <xf numFmtId="49" fontId="19" fillId="6" borderId="15" xfId="0" applyNumberFormat="1" applyFont="1" applyFill="1" applyBorder="1" applyAlignment="1">
      <alignment horizontal="right" vertical="center" wrapText="1"/>
    </xf>
    <xf numFmtId="0" fontId="18" fillId="0" borderId="15" xfId="0" applyFont="1" applyFill="1" applyBorder="1" applyAlignment="1">
      <alignment horizontal="center" vertical="center" wrapText="1"/>
    </xf>
    <xf numFmtId="2" fontId="24" fillId="26" borderId="15" xfId="0" applyNumberFormat="1" applyFont="1" applyFill="1" applyBorder="1" applyAlignment="1">
      <alignment horizontal="right"/>
    </xf>
    <xf numFmtId="2" fontId="24" fillId="26" borderId="15" xfId="0" applyNumberFormat="1" applyFont="1" applyFill="1" applyBorder="1" applyAlignment="1">
      <alignment horizontal="left" wrapText="1"/>
    </xf>
    <xf numFmtId="2" fontId="24" fillId="26" borderId="15" xfId="0" applyNumberFormat="1" applyFont="1" applyFill="1" applyBorder="1" applyAlignment="1">
      <alignment horizontal="right" vertical="center"/>
    </xf>
    <xf numFmtId="2" fontId="24" fillId="26" borderId="15" xfId="0" applyNumberFormat="1" applyFont="1" applyFill="1" applyBorder="1" applyAlignment="1" applyProtection="1">
      <alignment horizontal="right" vertical="center"/>
      <protection/>
    </xf>
    <xf numFmtId="10" fontId="22" fillId="33" borderId="15" xfId="55" applyNumberFormat="1" applyFont="1" applyFill="1" applyBorder="1" applyAlignment="1">
      <alignment horizontal="right" vertical="center"/>
    </xf>
    <xf numFmtId="0" fontId="24" fillId="26" borderId="15" xfId="0" applyFont="1" applyFill="1" applyBorder="1" applyAlignment="1">
      <alignment horizontal="right" vertical="center"/>
    </xf>
    <xf numFmtId="10" fontId="22" fillId="34" borderId="15" xfId="55" applyNumberFormat="1" applyFont="1" applyFill="1" applyBorder="1" applyAlignment="1">
      <alignment horizontal="right" vertical="center"/>
    </xf>
    <xf numFmtId="0" fontId="18" fillId="109" borderId="15" xfId="0" applyFont="1" applyFill="1" applyBorder="1" applyAlignment="1">
      <alignment horizontal="center" vertical="center"/>
    </xf>
    <xf numFmtId="0" fontId="18" fillId="109" borderId="15" xfId="0" applyFont="1" applyFill="1" applyBorder="1" applyAlignment="1">
      <alignment/>
    </xf>
    <xf numFmtId="0" fontId="18" fillId="0" borderId="15" xfId="0" applyFont="1" applyFill="1" applyBorder="1" applyAlignment="1">
      <alignment horizontal="center" vertical="center"/>
    </xf>
    <xf numFmtId="0" fontId="18" fillId="0" borderId="15" xfId="0" applyFont="1" applyBorder="1" applyAlignment="1">
      <alignment/>
    </xf>
    <xf numFmtId="0" fontId="18" fillId="27" borderId="15" xfId="0" applyFont="1" applyFill="1" applyBorder="1" applyAlignment="1">
      <alignment horizontal="center" vertical="center"/>
    </xf>
    <xf numFmtId="0" fontId="18" fillId="27" borderId="15" xfId="0" applyFont="1" applyFill="1" applyBorder="1" applyAlignment="1">
      <alignment/>
    </xf>
    <xf numFmtId="0" fontId="18" fillId="0" borderId="15" xfId="0" applyFont="1" applyBorder="1" applyAlignment="1">
      <alignment horizontal="center" vertical="center"/>
    </xf>
    <xf numFmtId="0" fontId="18" fillId="0" borderId="15" xfId="0" applyFont="1" applyFill="1" applyBorder="1" applyAlignment="1">
      <alignment vertical="center" wrapText="1"/>
    </xf>
    <xf numFmtId="0" fontId="0" fillId="0" borderId="15" xfId="0" applyBorder="1" applyAlignment="1">
      <alignment vertical="center"/>
    </xf>
    <xf numFmtId="43" fontId="23" fillId="40" borderId="15" xfId="47" applyNumberFormat="1" applyFont="1" applyFill="1" applyBorder="1" applyAlignment="1">
      <alignment horizontal="center" vertical="center" wrapText="1"/>
    </xf>
    <xf numFmtId="49" fontId="19" fillId="6" borderId="15" xfId="0" applyNumberFormat="1" applyFont="1" applyFill="1" applyBorder="1" applyAlignment="1">
      <alignment horizontal="center" vertical="center" wrapText="1"/>
    </xf>
    <xf numFmtId="3" fontId="27" fillId="27" borderId="15" xfId="0" applyNumberFormat="1" applyFont="1" applyFill="1" applyBorder="1" applyAlignment="1">
      <alignment horizontal="center" vertical="center" wrapText="1"/>
    </xf>
    <xf numFmtId="0" fontId="18" fillId="27" borderId="15" xfId="0" applyFont="1" applyFill="1" applyBorder="1" applyAlignment="1">
      <alignment horizontal="center" vertical="center" wrapText="1"/>
    </xf>
    <xf numFmtId="1" fontId="27" fillId="27" borderId="15" xfId="0" applyNumberFormat="1" applyFont="1" applyFill="1" applyBorder="1" applyAlignment="1" applyProtection="1">
      <alignment horizontal="center" vertical="center" wrapText="1"/>
      <protection locked="0"/>
    </xf>
    <xf numFmtId="0" fontId="27" fillId="27" borderId="15" xfId="0" applyFont="1" applyFill="1" applyBorder="1" applyAlignment="1">
      <alignment horizontal="center" vertical="center" wrapText="1"/>
    </xf>
    <xf numFmtId="0" fontId="24" fillId="26" borderId="15" xfId="0" applyFont="1" applyFill="1" applyBorder="1" applyAlignment="1">
      <alignment horizontal="left" vertical="center" wrapText="1"/>
    </xf>
    <xf numFmtId="0" fontId="24" fillId="22" borderId="15" xfId="0" applyFont="1" applyFill="1" applyBorder="1" applyAlignment="1">
      <alignment horizontal="center" vertical="center" wrapText="1"/>
    </xf>
    <xf numFmtId="43" fontId="22" fillId="40" borderId="15" xfId="47" applyNumberFormat="1" applyFont="1" applyFill="1" applyBorder="1" applyAlignment="1">
      <alignment horizontal="center" vertical="center" wrapText="1"/>
    </xf>
    <xf numFmtId="0" fontId="27" fillId="27" borderId="15" xfId="0" applyFont="1" applyFill="1" applyBorder="1" applyAlignment="1">
      <alignment horizontal="center" vertical="center"/>
    </xf>
    <xf numFmtId="0" fontId="19" fillId="10" borderId="15" xfId="0" applyFont="1" applyFill="1" applyBorder="1" applyAlignment="1">
      <alignment horizontal="center"/>
    </xf>
    <xf numFmtId="0" fontId="20" fillId="47" borderId="19"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19" fillId="39" borderId="19" xfId="0" applyFont="1" applyFill="1" applyBorder="1" applyAlignment="1">
      <alignment horizontal="center" vertical="center" wrapText="1"/>
    </xf>
    <xf numFmtId="0" fontId="19" fillId="39" borderId="23" xfId="0" applyFont="1" applyFill="1" applyBorder="1" applyAlignment="1">
      <alignment horizontal="center" vertical="center" wrapText="1"/>
    </xf>
    <xf numFmtId="43" fontId="22" fillId="40" borderId="21" xfId="47" applyNumberFormat="1" applyFont="1" applyFill="1" applyBorder="1" applyAlignment="1">
      <alignment horizontal="center" vertical="center" wrapText="1"/>
    </xf>
    <xf numFmtId="0" fontId="19" fillId="6" borderId="18" xfId="0" applyFont="1" applyFill="1" applyBorder="1" applyAlignment="1">
      <alignment horizontal="left" wrapText="1"/>
    </xf>
    <xf numFmtId="0" fontId="19" fillId="6" borderId="10" xfId="0" applyFont="1" applyFill="1" applyBorder="1" applyAlignment="1">
      <alignment horizontal="left" wrapText="1"/>
    </xf>
    <xf numFmtId="0" fontId="19" fillId="6" borderId="11" xfId="0" applyFont="1" applyFill="1" applyBorder="1" applyAlignment="1">
      <alignment horizontal="left" wrapText="1"/>
    </xf>
    <xf numFmtId="43" fontId="22" fillId="48" borderId="15" xfId="47"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4"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0</xdr:row>
      <xdr:rowOff>133350</xdr:rowOff>
    </xdr:from>
    <xdr:to>
      <xdr:col>5</xdr:col>
      <xdr:colOff>28575</xdr:colOff>
      <xdr:row>2</xdr:row>
      <xdr:rowOff>38100</xdr:rowOff>
    </xdr:to>
    <xdr:sp>
      <xdr:nvSpPr>
        <xdr:cNvPr id="1" name="7 Rectángulo"/>
        <xdr:cNvSpPr>
          <a:spLocks/>
        </xdr:cNvSpPr>
      </xdr:nvSpPr>
      <xdr:spPr>
        <a:xfrm>
          <a:off x="5153025" y="133350"/>
          <a:ext cx="1971675" cy="447675"/>
        </a:xfrm>
        <a:prstGeom prst="rect">
          <a:avLst/>
        </a:prstGeom>
        <a:noFill/>
        <a:ln w="9525" cmpd="sng">
          <a:noFill/>
        </a:ln>
      </xdr:spPr>
      <xdr:txBody>
        <a:bodyPr vertOverflow="clip" wrap="square" lIns="91440" tIns="45720" rIns="91440" bIns="45720"/>
        <a:p>
          <a:pPr algn="r">
            <a:defRPr/>
          </a:pPr>
          <a:r>
            <a:rPr lang="en-US" cap="none" sz="2400" b="1" i="0" u="none" baseline="0">
              <a:solidFill>
                <a:srgbClr val="FFFF00"/>
              </a:solidFill>
            </a:rPr>
            <a:t>H</a:t>
          </a:r>
          <a:r>
            <a:rPr lang="en-US" cap="none" sz="2400" b="1" i="0" u="none" baseline="0">
              <a:solidFill>
                <a:srgbClr val="FFFFFF"/>
              </a:solidFill>
            </a:rPr>
            <a:t>VC</a:t>
          </a:r>
          <a:r>
            <a:rPr lang="en-US" cap="none" sz="2400" b="1" i="0" u="none" baseline="0">
              <a:solidFill>
                <a:srgbClr val="FF0000"/>
              </a:solidFill>
            </a:rPr>
            <a:t>M</a:t>
          </a:r>
        </a:p>
      </xdr:txBody>
    </xdr:sp>
    <xdr:clientData/>
  </xdr:twoCellAnchor>
  <xdr:twoCellAnchor editAs="oneCell">
    <xdr:from>
      <xdr:col>1</xdr:col>
      <xdr:colOff>9525</xdr:colOff>
      <xdr:row>0</xdr:row>
      <xdr:rowOff>19050</xdr:rowOff>
    </xdr:from>
    <xdr:to>
      <xdr:col>1</xdr:col>
      <xdr:colOff>571500</xdr:colOff>
      <xdr:row>2</xdr:row>
      <xdr:rowOff>9525</xdr:rowOff>
    </xdr:to>
    <xdr:pic>
      <xdr:nvPicPr>
        <xdr:cNvPr id="2" name="Picture 2" descr="C:\Users\OChango\Desktop\carpetas hvcm\fotos HVCM\ecuador-ama-la-vida_burned.png"/>
        <xdr:cNvPicPr preferRelativeResize="1">
          <a:picLocks noChangeAspect="1"/>
        </xdr:cNvPicPr>
      </xdr:nvPicPr>
      <xdr:blipFill>
        <a:blip r:embed="rId1"/>
        <a:srcRect r="50000"/>
        <a:stretch>
          <a:fillRect/>
        </a:stretch>
      </xdr:blipFill>
      <xdr:spPr>
        <a:xfrm>
          <a:off x="600075" y="19050"/>
          <a:ext cx="561975" cy="533400"/>
        </a:xfrm>
        <a:prstGeom prst="rect">
          <a:avLst/>
        </a:prstGeom>
        <a:noFill/>
        <a:ln w="9525" cmpd="sng">
          <a:noFill/>
        </a:ln>
      </xdr:spPr>
    </xdr:pic>
    <xdr:clientData/>
  </xdr:twoCellAnchor>
  <xdr:twoCellAnchor editAs="oneCell">
    <xdr:from>
      <xdr:col>0</xdr:col>
      <xdr:colOff>9525</xdr:colOff>
      <xdr:row>0</xdr:row>
      <xdr:rowOff>19050</xdr:rowOff>
    </xdr:from>
    <xdr:to>
      <xdr:col>1</xdr:col>
      <xdr:colOff>352425</xdr:colOff>
      <xdr:row>2</xdr:row>
      <xdr:rowOff>0</xdr:rowOff>
    </xdr:to>
    <xdr:pic>
      <xdr:nvPicPr>
        <xdr:cNvPr id="3" name="Picture 9" descr="C:\Users\OChango\Desktop\carpetas hvcm\fotos HVCM\MSPECUADOR0_burned.png"/>
        <xdr:cNvPicPr preferRelativeResize="1">
          <a:picLocks noChangeAspect="1"/>
        </xdr:cNvPicPr>
      </xdr:nvPicPr>
      <xdr:blipFill>
        <a:blip r:embed="rId2"/>
        <a:stretch>
          <a:fillRect/>
        </a:stretch>
      </xdr:blipFill>
      <xdr:spPr>
        <a:xfrm>
          <a:off x="9525" y="19050"/>
          <a:ext cx="9334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1952625</xdr:colOff>
      <xdr:row>0</xdr:row>
      <xdr:rowOff>0</xdr:rowOff>
    </xdr:from>
    <xdr:to>
      <xdr:col>4</xdr:col>
      <xdr:colOff>3248025</xdr:colOff>
      <xdr:row>1</xdr:row>
      <xdr:rowOff>152400</xdr:rowOff>
    </xdr:to>
    <xdr:sp>
      <xdr:nvSpPr>
        <xdr:cNvPr id="1" name="7 Rectángulo"/>
        <xdr:cNvSpPr>
          <a:spLocks/>
        </xdr:cNvSpPr>
      </xdr:nvSpPr>
      <xdr:spPr>
        <a:xfrm>
          <a:off x="5133975" y="0"/>
          <a:ext cx="1295400" cy="361950"/>
        </a:xfrm>
        <a:prstGeom prst="rect">
          <a:avLst/>
        </a:prstGeom>
        <a:noFill/>
        <a:ln w="9525" cmpd="sng">
          <a:noFill/>
        </a:ln>
      </xdr:spPr>
      <xdr:txBody>
        <a:bodyPr vertOverflow="clip" wrap="square" lIns="0" tIns="0" rIns="0" bIns="0"/>
        <a:p>
          <a:pPr algn="r">
            <a:defRPr/>
          </a:pPr>
          <a:r>
            <a:rPr lang="en-US" cap="none" sz="2400" b="1" i="0" u="none" baseline="0">
              <a:solidFill>
                <a:srgbClr val="FFFF00"/>
              </a:solidFill>
            </a:rPr>
            <a:t>H</a:t>
          </a:r>
          <a:r>
            <a:rPr lang="en-US" cap="none" sz="2400" b="1" i="0" u="none" baseline="0">
              <a:solidFill>
                <a:srgbClr val="FFFFFF"/>
              </a:solidFill>
            </a:rPr>
            <a:t>VC</a:t>
          </a:r>
          <a:r>
            <a:rPr lang="en-US" cap="none" sz="2400" b="1" i="0" u="none" baseline="0">
              <a:solidFill>
                <a:srgbClr val="FF0000"/>
              </a:solidFill>
            </a:rPr>
            <a:t>M</a:t>
          </a:r>
        </a:p>
      </xdr:txBody>
    </xdr:sp>
    <xdr:clientData/>
  </xdr:twoCellAnchor>
  <xdr:twoCellAnchor editAs="oneCell">
    <xdr:from>
      <xdr:col>0</xdr:col>
      <xdr:colOff>38100</xdr:colOff>
      <xdr:row>0</xdr:row>
      <xdr:rowOff>0</xdr:rowOff>
    </xdr:from>
    <xdr:to>
      <xdr:col>0</xdr:col>
      <xdr:colOff>590550</xdr:colOff>
      <xdr:row>2</xdr:row>
      <xdr:rowOff>114300</xdr:rowOff>
    </xdr:to>
    <xdr:pic>
      <xdr:nvPicPr>
        <xdr:cNvPr id="2" name="Picture 9" descr="C:\Users\OChango\Desktop\carpetas hvcm\fotos HVCM\MSPECUADOR0_burned.png"/>
        <xdr:cNvPicPr preferRelativeResize="1">
          <a:picLocks noChangeAspect="1"/>
        </xdr:cNvPicPr>
      </xdr:nvPicPr>
      <xdr:blipFill>
        <a:blip r:embed="rId1"/>
        <a:stretch>
          <a:fillRect/>
        </a:stretch>
      </xdr:blipFill>
      <xdr:spPr>
        <a:xfrm>
          <a:off x="38100" y="0"/>
          <a:ext cx="5524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85725</xdr:colOff>
      <xdr:row>2</xdr:row>
      <xdr:rowOff>161925</xdr:rowOff>
    </xdr:to>
    <xdr:pic>
      <xdr:nvPicPr>
        <xdr:cNvPr id="1" name="Picture 9" descr="C:\Users\OChango\Desktop\carpetas hvcm\fotos HVCM\MSPECUADOR0_burned.png"/>
        <xdr:cNvPicPr preferRelativeResize="1">
          <a:picLocks noChangeAspect="1"/>
        </xdr:cNvPicPr>
      </xdr:nvPicPr>
      <xdr:blipFill>
        <a:blip r:embed="rId1"/>
        <a:stretch>
          <a:fillRect/>
        </a:stretch>
      </xdr:blipFill>
      <xdr:spPr>
        <a:xfrm>
          <a:off x="85725" y="0"/>
          <a:ext cx="590550" cy="704850"/>
        </a:xfrm>
        <a:prstGeom prst="rect">
          <a:avLst/>
        </a:prstGeom>
        <a:noFill/>
        <a:ln w="9525" cmpd="sng">
          <a:noFill/>
        </a:ln>
      </xdr:spPr>
    </xdr:pic>
    <xdr:clientData/>
  </xdr:twoCellAnchor>
  <xdr:twoCellAnchor>
    <xdr:from>
      <xdr:col>5</xdr:col>
      <xdr:colOff>476250</xdr:colOff>
      <xdr:row>0</xdr:row>
      <xdr:rowOff>9525</xdr:rowOff>
    </xdr:from>
    <xdr:to>
      <xdr:col>7</xdr:col>
      <xdr:colOff>571500</xdr:colOff>
      <xdr:row>1</xdr:row>
      <xdr:rowOff>171450</xdr:rowOff>
    </xdr:to>
    <xdr:sp>
      <xdr:nvSpPr>
        <xdr:cNvPr id="2" name="7 Rectángulo"/>
        <xdr:cNvSpPr>
          <a:spLocks/>
        </xdr:cNvSpPr>
      </xdr:nvSpPr>
      <xdr:spPr>
        <a:xfrm>
          <a:off x="5400675" y="9525"/>
          <a:ext cx="1295400" cy="371475"/>
        </a:xfrm>
        <a:prstGeom prst="rect">
          <a:avLst/>
        </a:prstGeom>
        <a:noFill/>
        <a:ln w="9525" cmpd="sng">
          <a:noFill/>
        </a:ln>
      </xdr:spPr>
      <xdr:txBody>
        <a:bodyPr vertOverflow="clip" wrap="square" lIns="0" tIns="0" rIns="0" bIns="0"/>
        <a:p>
          <a:pPr algn="r">
            <a:defRPr/>
          </a:pPr>
          <a:r>
            <a:rPr lang="en-US" cap="none" sz="2400" b="1" i="0" u="none" baseline="0">
              <a:solidFill>
                <a:srgbClr val="FFFF00"/>
              </a:solidFill>
            </a:rPr>
            <a:t>H</a:t>
          </a:r>
          <a:r>
            <a:rPr lang="en-US" cap="none" sz="2400" b="1" i="0" u="none" baseline="0">
              <a:solidFill>
                <a:srgbClr val="333399"/>
              </a:solidFill>
            </a:rPr>
            <a:t>VC</a:t>
          </a:r>
          <a:r>
            <a:rPr lang="en-US" cap="none" sz="2400" b="1" i="0" u="none" baseline="0">
              <a:solidFill>
                <a:srgbClr val="FF0000"/>
              </a:solidFill>
            </a:rPr>
            <a:t>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4</xdr:col>
      <xdr:colOff>752475</xdr:colOff>
      <xdr:row>2</xdr:row>
      <xdr:rowOff>228600</xdr:rowOff>
    </xdr:to>
    <xdr:pic>
      <xdr:nvPicPr>
        <xdr:cNvPr id="1" name="2 Imagen" descr="C:\Users\CATALI~1.YAN\AppData\Local\Temp\ELEMENTO-NUEVA-HOJA-6-1.jpg"/>
        <xdr:cNvPicPr preferRelativeResize="1">
          <a:picLocks noChangeAspect="1"/>
        </xdr:cNvPicPr>
      </xdr:nvPicPr>
      <xdr:blipFill>
        <a:blip r:embed="rId1"/>
        <a:stretch>
          <a:fillRect/>
        </a:stretch>
      </xdr:blipFill>
      <xdr:spPr>
        <a:xfrm>
          <a:off x="257175" y="447675"/>
          <a:ext cx="14287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476250</xdr:colOff>
      <xdr:row>110</xdr:row>
      <xdr:rowOff>133350</xdr:rowOff>
    </xdr:from>
    <xdr:to>
      <xdr:col>61</xdr:col>
      <xdr:colOff>542925</xdr:colOff>
      <xdr:row>110</xdr:row>
      <xdr:rowOff>257175</xdr:rowOff>
    </xdr:to>
    <xdr:sp>
      <xdr:nvSpPr>
        <xdr:cNvPr id="1" name="1 Flecha derecha"/>
        <xdr:cNvSpPr>
          <a:spLocks/>
        </xdr:cNvSpPr>
      </xdr:nvSpPr>
      <xdr:spPr>
        <a:xfrm>
          <a:off x="33708975" y="58693050"/>
          <a:ext cx="733425" cy="123825"/>
        </a:xfrm>
        <a:prstGeom prst="rightArrow">
          <a:avLst>
            <a:gd name="adj" fmla="val 41574"/>
          </a:avLst>
        </a:prstGeom>
        <a:solidFill>
          <a:srgbClr val="FFFFFF"/>
        </a:solidFill>
        <a:ln w="25400" cmpd="sng">
          <a:solidFill>
            <a:srgbClr val="8064A2"/>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1"/>
  <sheetViews>
    <sheetView zoomScalePageLayoutView="0" workbookViewId="0" topLeftCell="C23">
      <selection activeCell="E35" sqref="E35"/>
    </sheetView>
  </sheetViews>
  <sheetFormatPr defaultColWidth="11.421875" defaultRowHeight="15"/>
  <cols>
    <col min="1" max="1" width="8.8515625" style="0" customWidth="1"/>
    <col min="2" max="2" width="20.57421875" style="0" customWidth="1"/>
    <col min="3" max="3" width="10.7109375" style="0" customWidth="1"/>
    <col min="4" max="4" width="25.00390625" style="643" customWidth="1"/>
    <col min="5" max="5" width="41.28125" style="0" customWidth="1"/>
    <col min="6" max="6" width="43.140625" style="0" customWidth="1"/>
    <col min="7" max="9" width="9.28125" style="0" customWidth="1"/>
    <col min="10" max="10" width="8.7109375" style="0" customWidth="1"/>
  </cols>
  <sheetData>
    <row r="1" spans="1:5" ht="16.5" customHeight="1">
      <c r="A1" s="1272" t="s">
        <v>401</v>
      </c>
      <c r="B1" s="1272"/>
      <c r="C1" s="1272"/>
      <c r="D1" s="1272"/>
      <c r="E1" s="1272"/>
    </row>
    <row r="2" spans="1:10" ht="26.25" customHeight="1">
      <c r="A2" s="1273" t="s">
        <v>402</v>
      </c>
      <c r="B2" s="1273"/>
      <c r="C2" s="1273"/>
      <c r="D2" s="1273"/>
      <c r="E2" s="1273"/>
      <c r="F2" s="653" t="s">
        <v>403</v>
      </c>
      <c r="G2" s="635">
        <v>91.67</v>
      </c>
      <c r="H2" s="635">
        <v>98</v>
      </c>
      <c r="I2" s="1030">
        <v>98</v>
      </c>
      <c r="J2" s="635">
        <v>98</v>
      </c>
    </row>
    <row r="3" spans="1:10" ht="15.75">
      <c r="A3" s="1274" t="s">
        <v>404</v>
      </c>
      <c r="B3" s="1274"/>
      <c r="C3" s="1274"/>
      <c r="D3" s="636" t="s">
        <v>405</v>
      </c>
      <c r="E3" s="649" t="s">
        <v>406</v>
      </c>
      <c r="F3" s="646" t="s">
        <v>407</v>
      </c>
      <c r="G3" s="646">
        <v>2014</v>
      </c>
      <c r="H3" s="646">
        <v>2015</v>
      </c>
      <c r="I3" s="646">
        <v>2016</v>
      </c>
      <c r="J3" s="646">
        <v>2017</v>
      </c>
    </row>
    <row r="4" spans="1:10" ht="15.75">
      <c r="A4" s="1275" t="s">
        <v>396</v>
      </c>
      <c r="B4" s="1275"/>
      <c r="C4" s="1275"/>
      <c r="D4" s="1276" t="s">
        <v>387</v>
      </c>
      <c r="E4" s="650" t="s">
        <v>408</v>
      </c>
      <c r="F4" s="654" t="s">
        <v>409</v>
      </c>
      <c r="G4" s="635">
        <v>90</v>
      </c>
      <c r="H4" s="635">
        <v>91</v>
      </c>
      <c r="I4" s="1030">
        <v>91</v>
      </c>
      <c r="J4" s="635">
        <v>92</v>
      </c>
    </row>
    <row r="5" spans="1:10" ht="30.75">
      <c r="A5" s="1275"/>
      <c r="B5" s="1275"/>
      <c r="C5" s="1275"/>
      <c r="D5" s="1276"/>
      <c r="E5" s="650" t="s">
        <v>410</v>
      </c>
      <c r="F5" s="655" t="s">
        <v>411</v>
      </c>
      <c r="G5" s="635">
        <v>85</v>
      </c>
      <c r="H5" s="635">
        <v>87</v>
      </c>
      <c r="I5" s="1030">
        <v>90</v>
      </c>
      <c r="J5" s="635">
        <v>93</v>
      </c>
    </row>
    <row r="6" spans="1:10" ht="25.5">
      <c r="A6" s="1275"/>
      <c r="B6" s="1275"/>
      <c r="C6" s="1275"/>
      <c r="D6" s="1276"/>
      <c r="E6" s="651" t="s">
        <v>412</v>
      </c>
      <c r="F6" s="654" t="s">
        <v>413</v>
      </c>
      <c r="G6" s="635">
        <v>55</v>
      </c>
      <c r="H6" s="635">
        <v>60</v>
      </c>
      <c r="I6" s="1030">
        <v>65</v>
      </c>
      <c r="J6" s="635">
        <v>70</v>
      </c>
    </row>
    <row r="7" spans="1:10" ht="25.5">
      <c r="A7" s="1275"/>
      <c r="B7" s="1275"/>
      <c r="C7" s="1275"/>
      <c r="D7" s="1276"/>
      <c r="E7" s="650" t="s">
        <v>414</v>
      </c>
      <c r="F7" s="654" t="s">
        <v>415</v>
      </c>
      <c r="G7" s="635">
        <v>95</v>
      </c>
      <c r="H7" s="635">
        <v>94</v>
      </c>
      <c r="I7" s="1030">
        <v>92</v>
      </c>
      <c r="J7" s="635">
        <v>91</v>
      </c>
    </row>
    <row r="8" spans="1:10" ht="25.5">
      <c r="A8" s="1275"/>
      <c r="B8" s="1275"/>
      <c r="C8" s="1275"/>
      <c r="D8" s="1276"/>
      <c r="E8" s="650" t="s">
        <v>416</v>
      </c>
      <c r="F8" s="654" t="s">
        <v>417</v>
      </c>
      <c r="G8" s="647" t="s">
        <v>418</v>
      </c>
      <c r="H8" s="647" t="s">
        <v>419</v>
      </c>
      <c r="I8" s="1031" t="s">
        <v>420</v>
      </c>
      <c r="J8" s="648" t="s">
        <v>421</v>
      </c>
    </row>
    <row r="9" spans="1:10" ht="25.5" customHeight="1">
      <c r="A9" s="1275" t="s">
        <v>397</v>
      </c>
      <c r="B9" s="1275"/>
      <c r="C9" s="1275"/>
      <c r="D9" s="1277" t="s">
        <v>388</v>
      </c>
      <c r="E9" s="652" t="s">
        <v>422</v>
      </c>
      <c r="F9" s="654" t="s">
        <v>423</v>
      </c>
      <c r="G9" s="635">
        <v>89.15</v>
      </c>
      <c r="H9" s="635">
        <v>92</v>
      </c>
      <c r="I9" s="1030">
        <v>95</v>
      </c>
      <c r="J9" s="635">
        <v>96</v>
      </c>
    </row>
    <row r="10" spans="1:9" ht="25.5">
      <c r="A10" s="1275"/>
      <c r="B10" s="1275"/>
      <c r="C10" s="1275"/>
      <c r="D10" s="1278"/>
      <c r="E10" s="645" t="s">
        <v>424</v>
      </c>
      <c r="I10" s="1032"/>
    </row>
    <row r="11" spans="1:10" ht="38.25" customHeight="1">
      <c r="A11" s="1275"/>
      <c r="B11" s="1275"/>
      <c r="C11" s="1275"/>
      <c r="D11" s="1278"/>
      <c r="E11" s="639" t="s">
        <v>425</v>
      </c>
      <c r="F11" s="640" t="s">
        <v>426</v>
      </c>
      <c r="G11" s="640">
        <v>4.17</v>
      </c>
      <c r="H11" s="640">
        <v>4.1</v>
      </c>
      <c r="I11" s="1033">
        <v>4</v>
      </c>
      <c r="J11" s="640">
        <v>4</v>
      </c>
    </row>
    <row r="12" spans="1:12" ht="25.5">
      <c r="A12" s="1275"/>
      <c r="B12" s="1275"/>
      <c r="C12" s="1275"/>
      <c r="D12" s="1279"/>
      <c r="E12" s="639" t="s">
        <v>427</v>
      </c>
      <c r="F12" s="640" t="s">
        <v>428</v>
      </c>
      <c r="G12" s="640">
        <v>5.7</v>
      </c>
      <c r="H12" s="640">
        <v>6</v>
      </c>
      <c r="I12" s="1033">
        <v>6.5</v>
      </c>
      <c r="J12" s="640">
        <v>7</v>
      </c>
      <c r="L12">
        <f>6*365</f>
        <v>2190</v>
      </c>
    </row>
    <row r="13" spans="1:10" ht="51" customHeight="1">
      <c r="A13" s="1275"/>
      <c r="B13" s="1275"/>
      <c r="C13" s="1275"/>
      <c r="D13" s="1280" t="s">
        <v>389</v>
      </c>
      <c r="E13" s="637" t="s">
        <v>429</v>
      </c>
      <c r="F13" s="640" t="s">
        <v>430</v>
      </c>
      <c r="G13" s="640" t="s">
        <v>431</v>
      </c>
      <c r="H13" s="640" t="s">
        <v>421</v>
      </c>
      <c r="I13" s="1033" t="s">
        <v>432</v>
      </c>
      <c r="J13" s="640" t="s">
        <v>433</v>
      </c>
    </row>
    <row r="14" spans="1:10" ht="25.5">
      <c r="A14" s="1275"/>
      <c r="B14" s="1275"/>
      <c r="C14" s="1275"/>
      <c r="D14" s="1280"/>
      <c r="E14" s="695" t="s">
        <v>434</v>
      </c>
      <c r="F14" s="693" t="s">
        <v>417</v>
      </c>
      <c r="G14" s="694" t="s">
        <v>418</v>
      </c>
      <c r="H14" s="694" t="s">
        <v>419</v>
      </c>
      <c r="I14" s="1034" t="s">
        <v>420</v>
      </c>
      <c r="J14" s="694" t="s">
        <v>421</v>
      </c>
    </row>
    <row r="15" spans="1:10" ht="30.75" customHeight="1">
      <c r="A15" s="1275" t="s">
        <v>398</v>
      </c>
      <c r="B15" s="1275"/>
      <c r="C15" s="1275"/>
      <c r="D15" s="1283" t="s">
        <v>390</v>
      </c>
      <c r="E15" s="641" t="s">
        <v>435</v>
      </c>
      <c r="F15" s="642" t="s">
        <v>436</v>
      </c>
      <c r="G15" s="643" t="s">
        <v>437</v>
      </c>
      <c r="H15" s="643" t="s">
        <v>438</v>
      </c>
      <c r="I15" s="1035" t="s">
        <v>439</v>
      </c>
      <c r="J15" s="644" t="s">
        <v>440</v>
      </c>
    </row>
    <row r="16" spans="1:10" ht="33" customHeight="1">
      <c r="A16" s="1275"/>
      <c r="B16" s="1275"/>
      <c r="C16" s="1275"/>
      <c r="D16" s="1283"/>
      <c r="E16" s="641" t="s">
        <v>441</v>
      </c>
      <c r="F16" s="642"/>
      <c r="H16">
        <v>2015</v>
      </c>
      <c r="I16" s="1032">
        <v>2016</v>
      </c>
      <c r="J16">
        <v>2017</v>
      </c>
    </row>
    <row r="17" spans="1:10" ht="25.5" customHeight="1">
      <c r="A17" s="1275" t="s">
        <v>399</v>
      </c>
      <c r="B17" s="1275"/>
      <c r="C17" s="1275"/>
      <c r="D17" s="1284" t="s">
        <v>391</v>
      </c>
      <c r="E17" s="641" t="s">
        <v>442</v>
      </c>
      <c r="F17" s="642" t="s">
        <v>443</v>
      </c>
      <c r="G17" s="657">
        <v>0.6</v>
      </c>
      <c r="H17" s="657">
        <v>0.4</v>
      </c>
      <c r="I17" s="1036">
        <v>0.2</v>
      </c>
      <c r="J17" s="657">
        <v>0.1</v>
      </c>
    </row>
    <row r="18" spans="1:10" ht="12.75" customHeight="1">
      <c r="A18" s="1275"/>
      <c r="B18" s="1275"/>
      <c r="C18" s="1275"/>
      <c r="D18" s="1284"/>
      <c r="E18" s="641" t="s">
        <v>444</v>
      </c>
      <c r="F18" s="642" t="s">
        <v>445</v>
      </c>
      <c r="G18" s="635">
        <v>0.001</v>
      </c>
      <c r="H18" s="635">
        <v>0.001</v>
      </c>
      <c r="I18" s="1030">
        <v>0.001</v>
      </c>
      <c r="J18" s="635">
        <v>0.001</v>
      </c>
    </row>
    <row r="19" spans="1:10" ht="25.5">
      <c r="A19" s="1275"/>
      <c r="B19" s="1275"/>
      <c r="C19" s="1275"/>
      <c r="D19" s="1284"/>
      <c r="E19" s="641" t="s">
        <v>446</v>
      </c>
      <c r="F19" s="642" t="s">
        <v>447</v>
      </c>
      <c r="G19" s="635">
        <v>0.001</v>
      </c>
      <c r="H19" s="635">
        <v>0.001</v>
      </c>
      <c r="I19" s="1030">
        <v>0.001</v>
      </c>
      <c r="J19" s="635">
        <v>0.001</v>
      </c>
    </row>
    <row r="20" spans="1:10" ht="25.5">
      <c r="A20" s="1275"/>
      <c r="B20" s="1275"/>
      <c r="C20" s="1275"/>
      <c r="D20" s="1284"/>
      <c r="E20" s="641" t="s">
        <v>448</v>
      </c>
      <c r="F20" s="638" t="s">
        <v>518</v>
      </c>
      <c r="G20" s="635">
        <v>3502</v>
      </c>
      <c r="H20" s="635">
        <v>3200</v>
      </c>
      <c r="I20" s="1030">
        <v>3000</v>
      </c>
      <c r="J20" s="635">
        <v>2500</v>
      </c>
    </row>
    <row r="21" spans="1:10" ht="15.75">
      <c r="A21" s="1275"/>
      <c r="B21" s="1275"/>
      <c r="C21" s="1275"/>
      <c r="D21" s="1284" t="s">
        <v>392</v>
      </c>
      <c r="E21" s="639" t="s">
        <v>449</v>
      </c>
      <c r="F21" s="638" t="s">
        <v>450</v>
      </c>
      <c r="G21" s="635">
        <v>92</v>
      </c>
      <c r="H21" s="635">
        <v>94</v>
      </c>
      <c r="I21" s="1030">
        <v>96</v>
      </c>
      <c r="J21" s="635">
        <v>97</v>
      </c>
    </row>
    <row r="22" spans="1:10" ht="25.5">
      <c r="A22" s="1275"/>
      <c r="B22" s="1275"/>
      <c r="C22" s="1275"/>
      <c r="D22" s="1284"/>
      <c r="E22" s="639" t="s">
        <v>451</v>
      </c>
      <c r="F22" s="638" t="s">
        <v>452</v>
      </c>
      <c r="G22" s="635">
        <v>78</v>
      </c>
      <c r="H22" s="635">
        <v>60</v>
      </c>
      <c r="I22" s="1030">
        <v>56</v>
      </c>
      <c r="J22" s="635">
        <v>48</v>
      </c>
    </row>
    <row r="23" spans="1:10" ht="25.5">
      <c r="A23" s="1275"/>
      <c r="B23" s="1275"/>
      <c r="C23" s="1275"/>
      <c r="D23" s="1284" t="s">
        <v>393</v>
      </c>
      <c r="E23" s="639" t="s">
        <v>453</v>
      </c>
      <c r="F23" s="642" t="s">
        <v>454</v>
      </c>
      <c r="G23" s="635">
        <v>60</v>
      </c>
      <c r="H23" s="635">
        <v>70</v>
      </c>
      <c r="I23" s="1030">
        <v>75</v>
      </c>
      <c r="J23" s="635">
        <v>80</v>
      </c>
    </row>
    <row r="24" spans="1:10" ht="25.5">
      <c r="A24" s="1275"/>
      <c r="B24" s="1275"/>
      <c r="C24" s="1275"/>
      <c r="D24" s="1284"/>
      <c r="E24" s="639" t="s">
        <v>455</v>
      </c>
      <c r="F24" s="642" t="s">
        <v>456</v>
      </c>
      <c r="G24" s="635">
        <v>0</v>
      </c>
      <c r="H24" s="635">
        <v>80</v>
      </c>
      <c r="I24" s="1030">
        <v>90</v>
      </c>
      <c r="J24" s="635">
        <v>95</v>
      </c>
    </row>
    <row r="25" spans="1:10" ht="31.5" customHeight="1">
      <c r="A25" s="1275"/>
      <c r="B25" s="1275"/>
      <c r="C25" s="1275"/>
      <c r="D25" s="1284"/>
      <c r="E25" s="639" t="s">
        <v>457</v>
      </c>
      <c r="F25" s="642" t="s">
        <v>458</v>
      </c>
      <c r="G25" s="635">
        <v>0</v>
      </c>
      <c r="H25" s="635">
        <v>104</v>
      </c>
      <c r="I25" s="1030">
        <v>208</v>
      </c>
      <c r="J25" s="635">
        <v>300</v>
      </c>
    </row>
    <row r="26" spans="1:10" ht="38.25">
      <c r="A26" s="1275" t="s">
        <v>400</v>
      </c>
      <c r="B26" s="1275"/>
      <c r="C26" s="1275"/>
      <c r="D26" s="1281" t="s">
        <v>394</v>
      </c>
      <c r="E26" s="957" t="s">
        <v>459</v>
      </c>
      <c r="F26" s="958" t="s">
        <v>460</v>
      </c>
      <c r="G26" s="959">
        <v>0.6</v>
      </c>
      <c r="H26" s="959">
        <v>0.8</v>
      </c>
      <c r="I26" s="1036">
        <v>0.95</v>
      </c>
      <c r="J26" s="657">
        <v>0.99</v>
      </c>
    </row>
    <row r="27" spans="1:10" ht="28.5" customHeight="1">
      <c r="A27" s="1275"/>
      <c r="B27" s="1275"/>
      <c r="C27" s="1275"/>
      <c r="D27" s="1281"/>
      <c r="E27" s="639" t="s">
        <v>461</v>
      </c>
      <c r="F27" s="642" t="s">
        <v>462</v>
      </c>
      <c r="G27">
        <v>0</v>
      </c>
      <c r="H27">
        <v>60</v>
      </c>
      <c r="I27" s="1032">
        <v>75</v>
      </c>
      <c r="J27">
        <v>85</v>
      </c>
    </row>
    <row r="28" spans="1:9" ht="28.5" customHeight="1">
      <c r="A28" s="1275"/>
      <c r="B28" s="1275"/>
      <c r="C28" s="1275"/>
      <c r="D28" s="1281"/>
      <c r="E28" s="639" t="s">
        <v>463</v>
      </c>
      <c r="F28" s="642"/>
      <c r="I28" s="1032"/>
    </row>
    <row r="29" spans="1:9" ht="28.5" customHeight="1">
      <c r="A29" s="1275"/>
      <c r="B29" s="1275"/>
      <c r="C29" s="1275"/>
      <c r="D29" s="1281"/>
      <c r="E29" s="637" t="s">
        <v>464</v>
      </c>
      <c r="F29" s="642" t="s">
        <v>462</v>
      </c>
      <c r="I29" s="1032"/>
    </row>
    <row r="30" spans="1:12" ht="25.5">
      <c r="A30" s="1275"/>
      <c r="B30" s="1275"/>
      <c r="C30" s="1275"/>
      <c r="D30" s="1281" t="s">
        <v>395</v>
      </c>
      <c r="E30" s="637" t="s">
        <v>465</v>
      </c>
      <c r="F30" s="642" t="s">
        <v>466</v>
      </c>
      <c r="G30">
        <v>5</v>
      </c>
      <c r="H30">
        <v>8</v>
      </c>
      <c r="I30" s="1032">
        <v>10</v>
      </c>
      <c r="J30">
        <v>15</v>
      </c>
      <c r="L30">
        <v>249955.93</v>
      </c>
    </row>
    <row r="31" spans="1:9" ht="25.5">
      <c r="A31" s="1275"/>
      <c r="B31" s="1275"/>
      <c r="C31" s="1275"/>
      <c r="D31" s="1281"/>
      <c r="E31" s="637" t="s">
        <v>467</v>
      </c>
      <c r="F31" s="642"/>
      <c r="I31" s="1032"/>
    </row>
    <row r="32" spans="1:9" ht="25.5">
      <c r="A32" s="1275"/>
      <c r="B32" s="1275"/>
      <c r="C32" s="1275"/>
      <c r="D32" s="1281"/>
      <c r="E32" s="639" t="s">
        <v>468</v>
      </c>
      <c r="F32" s="642"/>
      <c r="I32" s="1032"/>
    </row>
    <row r="33" spans="1:9" ht="15">
      <c r="A33" s="1282" t="s">
        <v>469</v>
      </c>
      <c r="B33" s="1282"/>
      <c r="C33" s="1282"/>
      <c r="I33" s="1032"/>
    </row>
    <row r="34" ht="15">
      <c r="I34" s="1032"/>
    </row>
    <row r="35" ht="15">
      <c r="I35" s="1032"/>
    </row>
    <row r="36" ht="15">
      <c r="I36" s="1032"/>
    </row>
    <row r="37" ht="15">
      <c r="I37" s="1032"/>
    </row>
    <row r="38" ht="15">
      <c r="I38" s="1032"/>
    </row>
    <row r="39" ht="15">
      <c r="I39" s="1032"/>
    </row>
    <row r="40" ht="15">
      <c r="I40" s="1032"/>
    </row>
    <row r="41" ht="15">
      <c r="I41" s="1032"/>
    </row>
  </sheetData>
  <sheetProtection/>
  <mergeCells count="18">
    <mergeCell ref="A26:C32"/>
    <mergeCell ref="D26:D29"/>
    <mergeCell ref="D30:D32"/>
    <mergeCell ref="A33:C33"/>
    <mergeCell ref="A15:C16"/>
    <mergeCell ref="D15:D16"/>
    <mergeCell ref="A17:C25"/>
    <mergeCell ref="D17:D20"/>
    <mergeCell ref="D21:D22"/>
    <mergeCell ref="D23:D25"/>
    <mergeCell ref="A1:E1"/>
    <mergeCell ref="A2:E2"/>
    <mergeCell ref="A3:C3"/>
    <mergeCell ref="A4:C8"/>
    <mergeCell ref="D4:D8"/>
    <mergeCell ref="A9:C14"/>
    <mergeCell ref="D9:D12"/>
    <mergeCell ref="D13:D14"/>
  </mergeCells>
  <printOptions/>
  <pageMargins left="0.15748031496062992" right="0.2755905511811024" top="0.5511811023622047" bottom="0.31496062992125984"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E34"/>
  <sheetViews>
    <sheetView zoomScalePageLayoutView="0" workbookViewId="0" topLeftCell="A1">
      <selection activeCell="G13" sqref="G13"/>
    </sheetView>
  </sheetViews>
  <sheetFormatPr defaultColWidth="11.421875" defaultRowHeight="15"/>
  <cols>
    <col min="1" max="1" width="8.8515625" style="0" customWidth="1"/>
    <col min="2" max="2" width="9.421875" style="0" customWidth="1"/>
    <col min="3" max="3" width="6.8515625" style="0" customWidth="1"/>
    <col min="4" max="4" width="22.57421875" style="643" customWidth="1"/>
    <col min="5" max="5" width="48.8515625" style="0" customWidth="1"/>
  </cols>
  <sheetData>
    <row r="1" spans="1:5" ht="16.5" customHeight="1">
      <c r="A1" s="1272" t="s">
        <v>401</v>
      </c>
      <c r="B1" s="1272"/>
      <c r="C1" s="1272"/>
      <c r="D1" s="1272"/>
      <c r="E1" s="1272"/>
    </row>
    <row r="2" spans="1:5" ht="26.25" customHeight="1">
      <c r="A2" s="1288" t="s">
        <v>402</v>
      </c>
      <c r="B2" s="1288"/>
      <c r="C2" s="1288"/>
      <c r="D2" s="1288"/>
      <c r="E2" s="1288"/>
    </row>
    <row r="3" spans="1:5" ht="15.75">
      <c r="A3" s="1274" t="s">
        <v>404</v>
      </c>
      <c r="B3" s="1274"/>
      <c r="C3" s="1274"/>
      <c r="D3" s="636" t="s">
        <v>405</v>
      </c>
      <c r="E3" s="636" t="s">
        <v>406</v>
      </c>
    </row>
    <row r="4" spans="1:5" ht="15" customHeight="1">
      <c r="A4" s="1275" t="s">
        <v>396</v>
      </c>
      <c r="B4" s="1275"/>
      <c r="C4" s="1275"/>
      <c r="D4" s="1289" t="s">
        <v>616</v>
      </c>
      <c r="E4" s="1132" t="s">
        <v>617</v>
      </c>
    </row>
    <row r="5" spans="1:5" ht="15" customHeight="1">
      <c r="A5" s="1275"/>
      <c r="B5" s="1275"/>
      <c r="C5" s="1275"/>
      <c r="D5" s="1289"/>
      <c r="E5" s="1133" t="s">
        <v>618</v>
      </c>
    </row>
    <row r="6" spans="1:5" ht="15" customHeight="1">
      <c r="A6" s="1275"/>
      <c r="B6" s="1275"/>
      <c r="C6" s="1275"/>
      <c r="D6" s="1289"/>
      <c r="E6" s="1133" t="s">
        <v>619</v>
      </c>
    </row>
    <row r="7" spans="1:5" ht="15.75" customHeight="1">
      <c r="A7" s="1275"/>
      <c r="B7" s="1275"/>
      <c r="C7" s="1275"/>
      <c r="D7" s="1289"/>
      <c r="E7" s="1133" t="s">
        <v>620</v>
      </c>
    </row>
    <row r="8" spans="1:5" ht="15">
      <c r="A8" s="1275"/>
      <c r="B8" s="1275"/>
      <c r="C8" s="1275"/>
      <c r="D8" s="1289"/>
      <c r="E8" s="1133" t="s">
        <v>621</v>
      </c>
    </row>
    <row r="9" spans="1:5" ht="16.5" customHeight="1">
      <c r="A9" s="1290" t="s">
        <v>397</v>
      </c>
      <c r="B9" s="1291"/>
      <c r="C9" s="1292"/>
      <c r="D9" s="1299" t="s">
        <v>622</v>
      </c>
      <c r="E9" s="1134" t="s">
        <v>623</v>
      </c>
    </row>
    <row r="10" spans="1:5" ht="15" customHeight="1">
      <c r="A10" s="1293"/>
      <c r="B10" s="1294"/>
      <c r="C10" s="1295"/>
      <c r="D10" s="1299"/>
      <c r="E10" s="1134" t="s">
        <v>424</v>
      </c>
    </row>
    <row r="11" spans="1:5" ht="15" customHeight="1">
      <c r="A11" s="1293"/>
      <c r="B11" s="1294"/>
      <c r="C11" s="1295"/>
      <c r="D11" s="1299"/>
      <c r="E11" s="1134" t="s">
        <v>425</v>
      </c>
    </row>
    <row r="12" spans="1:5" ht="25.5">
      <c r="A12" s="1293"/>
      <c r="B12" s="1294"/>
      <c r="C12" s="1295"/>
      <c r="D12" s="1299"/>
      <c r="E12" s="1134" t="s">
        <v>427</v>
      </c>
    </row>
    <row r="13" spans="1:5" ht="27" customHeight="1">
      <c r="A13" s="1293"/>
      <c r="B13" s="1294"/>
      <c r="C13" s="1295"/>
      <c r="D13" s="1300" t="s">
        <v>624</v>
      </c>
      <c r="E13" s="1134" t="s">
        <v>625</v>
      </c>
    </row>
    <row r="14" spans="1:5" ht="28.5" customHeight="1">
      <c r="A14" s="1293"/>
      <c r="B14" s="1294"/>
      <c r="C14" s="1295"/>
      <c r="D14" s="1300"/>
      <c r="E14" s="1134" t="s">
        <v>434</v>
      </c>
    </row>
    <row r="15" spans="1:5" ht="36.75" customHeight="1">
      <c r="A15" s="1296"/>
      <c r="B15" s="1297"/>
      <c r="C15" s="1298"/>
      <c r="D15" s="1135" t="s">
        <v>626</v>
      </c>
      <c r="E15" s="1134" t="s">
        <v>627</v>
      </c>
    </row>
    <row r="16" spans="1:5" ht="30.75" customHeight="1">
      <c r="A16" s="1275" t="s">
        <v>398</v>
      </c>
      <c r="B16" s="1275"/>
      <c r="C16" s="1275"/>
      <c r="D16" s="1286" t="s">
        <v>628</v>
      </c>
      <c r="E16" s="1136" t="s">
        <v>629</v>
      </c>
    </row>
    <row r="17" spans="1:5" ht="33" customHeight="1">
      <c r="A17" s="1275"/>
      <c r="B17" s="1275"/>
      <c r="C17" s="1275"/>
      <c r="D17" s="1286"/>
      <c r="E17" s="1136" t="s">
        <v>630</v>
      </c>
    </row>
    <row r="18" spans="1:5" ht="15" customHeight="1">
      <c r="A18" s="1275" t="s">
        <v>399</v>
      </c>
      <c r="B18" s="1275"/>
      <c r="C18" s="1275"/>
      <c r="D18" s="1287" t="s">
        <v>631</v>
      </c>
      <c r="E18" s="1137" t="s">
        <v>632</v>
      </c>
    </row>
    <row r="19" spans="1:5" ht="15" customHeight="1">
      <c r="A19" s="1275"/>
      <c r="B19" s="1275"/>
      <c r="C19" s="1275"/>
      <c r="D19" s="1287"/>
      <c r="E19" s="1137" t="s">
        <v>633</v>
      </c>
    </row>
    <row r="20" spans="1:5" ht="15" customHeight="1">
      <c r="A20" s="1275"/>
      <c r="B20" s="1275"/>
      <c r="C20" s="1275"/>
      <c r="D20" s="1287"/>
      <c r="E20" s="1137" t="s">
        <v>634</v>
      </c>
    </row>
    <row r="21" spans="1:5" ht="25.5">
      <c r="A21" s="1275"/>
      <c r="B21" s="1275"/>
      <c r="C21" s="1275"/>
      <c r="D21" s="1287"/>
      <c r="E21" s="1137" t="s">
        <v>635</v>
      </c>
    </row>
    <row r="22" spans="1:5" ht="20.25" customHeight="1">
      <c r="A22" s="1275"/>
      <c r="B22" s="1275"/>
      <c r="C22" s="1275"/>
      <c r="D22" s="1287" t="s">
        <v>636</v>
      </c>
      <c r="E22" s="1137" t="s">
        <v>637</v>
      </c>
    </row>
    <row r="23" spans="1:5" ht="20.25" customHeight="1">
      <c r="A23" s="1275"/>
      <c r="B23" s="1275"/>
      <c r="C23" s="1275"/>
      <c r="D23" s="1287"/>
      <c r="E23" s="1137" t="s">
        <v>638</v>
      </c>
    </row>
    <row r="24" spans="1:5" ht="25.5">
      <c r="A24" s="1275"/>
      <c r="B24" s="1275"/>
      <c r="C24" s="1275"/>
      <c r="D24" s="1287" t="s">
        <v>639</v>
      </c>
      <c r="E24" s="1137" t="s">
        <v>640</v>
      </c>
    </row>
    <row r="25" spans="1:5" ht="25.5">
      <c r="A25" s="1275"/>
      <c r="B25" s="1275"/>
      <c r="C25" s="1275"/>
      <c r="D25" s="1287"/>
      <c r="E25" s="1137" t="s">
        <v>641</v>
      </c>
    </row>
    <row r="26" spans="1:5" ht="25.5">
      <c r="A26" s="1275"/>
      <c r="B26" s="1275"/>
      <c r="C26" s="1275"/>
      <c r="D26" s="1287"/>
      <c r="E26" s="1137" t="s">
        <v>642</v>
      </c>
    </row>
    <row r="27" spans="1:5" ht="25.5">
      <c r="A27" s="1275" t="s">
        <v>400</v>
      </c>
      <c r="B27" s="1275"/>
      <c r="C27" s="1275"/>
      <c r="D27" s="1285" t="s">
        <v>643</v>
      </c>
      <c r="E27" s="1138" t="s">
        <v>644</v>
      </c>
    </row>
    <row r="28" spans="1:5" ht="25.5">
      <c r="A28" s="1275"/>
      <c r="B28" s="1275"/>
      <c r="C28" s="1275"/>
      <c r="D28" s="1285"/>
      <c r="E28" s="1138" t="s">
        <v>645</v>
      </c>
    </row>
    <row r="29" spans="1:5" ht="15" customHeight="1">
      <c r="A29" s="1275"/>
      <c r="B29" s="1275"/>
      <c r="C29" s="1275"/>
      <c r="D29" s="1285"/>
      <c r="E29" s="1138" t="s">
        <v>646</v>
      </c>
    </row>
    <row r="30" spans="1:5" ht="25.5">
      <c r="A30" s="1275"/>
      <c r="B30" s="1275"/>
      <c r="C30" s="1275"/>
      <c r="D30" s="1285"/>
      <c r="E30" s="1139" t="s">
        <v>647</v>
      </c>
    </row>
    <row r="31" spans="1:5" ht="25.5" customHeight="1">
      <c r="A31" s="1275"/>
      <c r="B31" s="1275"/>
      <c r="C31" s="1275"/>
      <c r="D31" s="1285" t="s">
        <v>648</v>
      </c>
      <c r="E31" s="1139" t="s">
        <v>649</v>
      </c>
    </row>
    <row r="32" spans="1:5" ht="25.5">
      <c r="A32" s="1275"/>
      <c r="B32" s="1275"/>
      <c r="C32" s="1275"/>
      <c r="D32" s="1285"/>
      <c r="E32" s="1139" t="s">
        <v>650</v>
      </c>
    </row>
    <row r="33" spans="1:5" ht="25.5">
      <c r="A33" s="1275"/>
      <c r="B33" s="1275"/>
      <c r="C33" s="1275"/>
      <c r="D33" s="1285"/>
      <c r="E33" s="1138" t="s">
        <v>651</v>
      </c>
    </row>
    <row r="34" spans="1:3" ht="15">
      <c r="A34" s="1282" t="s">
        <v>469</v>
      </c>
      <c r="B34" s="1282"/>
      <c r="C34" s="1282"/>
    </row>
  </sheetData>
  <sheetProtection/>
  <mergeCells count="18">
    <mergeCell ref="A1:E1"/>
    <mergeCell ref="A2:E2"/>
    <mergeCell ref="A3:C3"/>
    <mergeCell ref="A4:C8"/>
    <mergeCell ref="D4:D8"/>
    <mergeCell ref="A9:C15"/>
    <mergeCell ref="D9:D12"/>
    <mergeCell ref="D13:D14"/>
    <mergeCell ref="A27:C33"/>
    <mergeCell ref="D27:D30"/>
    <mergeCell ref="D31:D33"/>
    <mergeCell ref="A34:C34"/>
    <mergeCell ref="A16:C17"/>
    <mergeCell ref="D16:D17"/>
    <mergeCell ref="A18:C26"/>
    <mergeCell ref="D18:D21"/>
    <mergeCell ref="D22:D23"/>
    <mergeCell ref="D24:D2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D4" sqref="D4"/>
    </sheetView>
  </sheetViews>
  <sheetFormatPr defaultColWidth="11.421875" defaultRowHeight="15"/>
  <cols>
    <col min="1" max="1" width="8.8515625" style="0" customWidth="1"/>
    <col min="2" max="2" width="8.421875" style="0" customWidth="1"/>
    <col min="3" max="3" width="6.8515625" style="0" customWidth="1"/>
    <col min="4" max="4" width="40.7109375" style="643" customWidth="1"/>
    <col min="5" max="8" width="9.00390625" style="0" customWidth="1"/>
  </cols>
  <sheetData>
    <row r="1" spans="1:8" ht="16.5" customHeight="1">
      <c r="A1" s="1272" t="s">
        <v>401</v>
      </c>
      <c r="B1" s="1272"/>
      <c r="C1" s="1272"/>
      <c r="D1" s="1272"/>
      <c r="E1" s="1272"/>
      <c r="F1" s="1272"/>
      <c r="G1" s="1272"/>
      <c r="H1" s="1272"/>
    </row>
    <row r="2" spans="1:8" ht="26.25" customHeight="1">
      <c r="A2" s="1302" t="s">
        <v>652</v>
      </c>
      <c r="B2" s="1302"/>
      <c r="C2" s="1302"/>
      <c r="D2" s="1302"/>
      <c r="E2" s="1302"/>
      <c r="F2" s="1302"/>
      <c r="G2" s="1302"/>
      <c r="H2" s="1302"/>
    </row>
    <row r="3" spans="1:8" ht="15.75">
      <c r="A3" s="1303" t="s">
        <v>404</v>
      </c>
      <c r="B3" s="1303"/>
      <c r="C3" s="1303"/>
      <c r="D3" s="1140" t="s">
        <v>407</v>
      </c>
      <c r="E3" s="1140">
        <v>2014</v>
      </c>
      <c r="F3" s="1140">
        <v>2015</v>
      </c>
      <c r="G3" s="1140">
        <v>2016</v>
      </c>
      <c r="H3" s="1140">
        <v>2017</v>
      </c>
    </row>
    <row r="4" spans="1:8" ht="30" customHeight="1">
      <c r="A4" s="1275" t="s">
        <v>396</v>
      </c>
      <c r="B4" s="1275"/>
      <c r="C4" s="1275"/>
      <c r="D4" s="1141" t="s">
        <v>653</v>
      </c>
      <c r="E4" s="1142">
        <v>90</v>
      </c>
      <c r="F4" s="1142">
        <v>91</v>
      </c>
      <c r="G4" s="1142">
        <v>91</v>
      </c>
      <c r="H4" s="1142">
        <v>92</v>
      </c>
    </row>
    <row r="5" spans="1:8" ht="30" customHeight="1">
      <c r="A5" s="1275"/>
      <c r="B5" s="1275"/>
      <c r="C5" s="1275"/>
      <c r="D5" s="1141" t="s">
        <v>654</v>
      </c>
      <c r="E5" s="1142">
        <v>85</v>
      </c>
      <c r="F5" s="1142">
        <v>87</v>
      </c>
      <c r="G5" s="1142">
        <v>90</v>
      </c>
      <c r="H5" s="1142">
        <v>93</v>
      </c>
    </row>
    <row r="6" spans="1:8" ht="30" customHeight="1">
      <c r="A6" s="1275"/>
      <c r="B6" s="1275"/>
      <c r="C6" s="1275"/>
      <c r="D6" s="1141" t="s">
        <v>655</v>
      </c>
      <c r="E6" s="1142">
        <v>55</v>
      </c>
      <c r="F6" s="1142">
        <v>60</v>
      </c>
      <c r="G6" s="1142">
        <v>65</v>
      </c>
      <c r="H6" s="1142">
        <v>70</v>
      </c>
    </row>
    <row r="7" spans="1:8" ht="30" customHeight="1">
      <c r="A7" s="1275"/>
      <c r="B7" s="1275"/>
      <c r="C7" s="1275"/>
      <c r="D7" s="1141" t="s">
        <v>656</v>
      </c>
      <c r="E7" s="1142">
        <v>95</v>
      </c>
      <c r="F7" s="1142">
        <v>94</v>
      </c>
      <c r="G7" s="1142">
        <v>92</v>
      </c>
      <c r="H7" s="1142">
        <v>91</v>
      </c>
    </row>
    <row r="8" spans="1:8" ht="30" customHeight="1">
      <c r="A8" s="1275"/>
      <c r="B8" s="1275"/>
      <c r="C8" s="1275"/>
      <c r="D8" s="1141" t="s">
        <v>657</v>
      </c>
      <c r="E8" s="1142" t="s">
        <v>418</v>
      </c>
      <c r="F8" s="1142" t="s">
        <v>419</v>
      </c>
      <c r="G8" s="1142" t="s">
        <v>420</v>
      </c>
      <c r="H8" s="1142" t="s">
        <v>421</v>
      </c>
    </row>
    <row r="9" spans="1:8" ht="30" customHeight="1">
      <c r="A9" s="1275"/>
      <c r="B9" s="1275"/>
      <c r="C9" s="1275"/>
      <c r="D9" s="1141" t="s">
        <v>658</v>
      </c>
      <c r="E9" s="1142">
        <v>89.15</v>
      </c>
      <c r="F9" s="1142">
        <v>92</v>
      </c>
      <c r="G9" s="1142">
        <v>95</v>
      </c>
      <c r="H9" s="1142">
        <v>96</v>
      </c>
    </row>
    <row r="10" spans="1:8" ht="30" customHeight="1">
      <c r="A10" s="1275" t="s">
        <v>397</v>
      </c>
      <c r="B10" s="1275"/>
      <c r="C10" s="1275"/>
      <c r="D10" s="1143" t="s">
        <v>426</v>
      </c>
      <c r="E10" s="1144">
        <v>4.17</v>
      </c>
      <c r="F10" s="1144">
        <v>4.1</v>
      </c>
      <c r="G10" s="1144">
        <v>4</v>
      </c>
      <c r="H10" s="1144">
        <v>4</v>
      </c>
    </row>
    <row r="11" spans="1:8" ht="30" customHeight="1">
      <c r="A11" s="1275"/>
      <c r="B11" s="1275"/>
      <c r="C11" s="1275"/>
      <c r="D11" s="1143" t="s">
        <v>428</v>
      </c>
      <c r="E11" s="1144">
        <v>5.7</v>
      </c>
      <c r="F11" s="1144">
        <v>6</v>
      </c>
      <c r="G11" s="1144">
        <v>6.5</v>
      </c>
      <c r="H11" s="1144">
        <v>7</v>
      </c>
    </row>
    <row r="12" spans="1:8" ht="30" customHeight="1">
      <c r="A12" s="1275"/>
      <c r="B12" s="1275"/>
      <c r="C12" s="1275"/>
      <c r="D12" s="1143" t="s">
        <v>659</v>
      </c>
      <c r="E12" s="1144" t="s">
        <v>431</v>
      </c>
      <c r="F12" s="1144" t="s">
        <v>421</v>
      </c>
      <c r="G12" s="1144" t="s">
        <v>660</v>
      </c>
      <c r="H12" s="1144" t="s">
        <v>433</v>
      </c>
    </row>
    <row r="13" spans="1:8" ht="47.25" customHeight="1">
      <c r="A13" s="1275" t="s">
        <v>398</v>
      </c>
      <c r="B13" s="1275"/>
      <c r="C13" s="1275"/>
      <c r="D13" s="1286" t="s">
        <v>661</v>
      </c>
      <c r="E13" s="1301" t="s">
        <v>662</v>
      </c>
      <c r="F13" s="1301" t="s">
        <v>663</v>
      </c>
      <c r="G13" s="1301" t="s">
        <v>664</v>
      </c>
      <c r="H13" s="1301" t="s">
        <v>665</v>
      </c>
    </row>
    <row r="14" spans="1:8" ht="34.5" customHeight="1">
      <c r="A14" s="1275"/>
      <c r="B14" s="1275"/>
      <c r="C14" s="1275"/>
      <c r="D14" s="1286"/>
      <c r="E14" s="1301"/>
      <c r="F14" s="1301"/>
      <c r="G14" s="1301"/>
      <c r="H14" s="1301"/>
    </row>
    <row r="15" spans="1:8" ht="30" customHeight="1">
      <c r="A15" s="1275" t="s">
        <v>399</v>
      </c>
      <c r="B15" s="1275"/>
      <c r="C15" s="1275"/>
      <c r="D15" s="1145" t="s">
        <v>666</v>
      </c>
      <c r="E15" s="1146">
        <v>0.6</v>
      </c>
      <c r="F15" s="1146">
        <v>0.4</v>
      </c>
      <c r="G15" s="1146">
        <v>0.2</v>
      </c>
      <c r="H15" s="1146">
        <v>0.1</v>
      </c>
    </row>
    <row r="16" spans="1:8" ht="30" customHeight="1">
      <c r="A16" s="1275"/>
      <c r="B16" s="1275"/>
      <c r="C16" s="1275"/>
      <c r="D16" s="1145" t="s">
        <v>667</v>
      </c>
      <c r="E16" s="1146">
        <v>92</v>
      </c>
      <c r="F16" s="1146">
        <v>94</v>
      </c>
      <c r="G16" s="1146">
        <v>96</v>
      </c>
      <c r="H16" s="1146">
        <v>97</v>
      </c>
    </row>
    <row r="17" spans="1:8" ht="30" customHeight="1">
      <c r="A17" s="1275"/>
      <c r="B17" s="1275"/>
      <c r="C17" s="1275"/>
      <c r="D17" s="1145" t="s">
        <v>452</v>
      </c>
      <c r="E17" s="1146">
        <v>78</v>
      </c>
      <c r="F17" s="1146">
        <v>60</v>
      </c>
      <c r="G17" s="1146">
        <v>56</v>
      </c>
      <c r="H17" s="1146">
        <v>48</v>
      </c>
    </row>
    <row r="18" spans="1:8" ht="30" customHeight="1">
      <c r="A18" s="1275"/>
      <c r="B18" s="1275"/>
      <c r="C18" s="1275"/>
      <c r="D18" s="1145" t="s">
        <v>454</v>
      </c>
      <c r="E18" s="1146">
        <v>60</v>
      </c>
      <c r="F18" s="1146">
        <v>70</v>
      </c>
      <c r="G18" s="1146">
        <v>75</v>
      </c>
      <c r="H18" s="1146">
        <v>80</v>
      </c>
    </row>
    <row r="19" spans="1:8" ht="30" customHeight="1">
      <c r="A19" s="1275"/>
      <c r="B19" s="1275"/>
      <c r="C19" s="1275"/>
      <c r="D19" s="1145" t="s">
        <v>668</v>
      </c>
      <c r="E19" s="1146">
        <v>3502</v>
      </c>
      <c r="F19" s="1146">
        <v>3200</v>
      </c>
      <c r="G19" s="1146">
        <v>3000</v>
      </c>
      <c r="H19" s="1146">
        <v>2500</v>
      </c>
    </row>
    <row r="20" spans="1:8" ht="30" customHeight="1">
      <c r="A20" s="1275"/>
      <c r="B20" s="1275"/>
      <c r="C20" s="1275"/>
      <c r="D20" s="1145" t="s">
        <v>458</v>
      </c>
      <c r="E20" s="1146">
        <v>0</v>
      </c>
      <c r="F20" s="1146">
        <v>104</v>
      </c>
      <c r="G20" s="1146">
        <v>208</v>
      </c>
      <c r="H20" s="1146">
        <v>300</v>
      </c>
    </row>
    <row r="21" spans="1:8" ht="30" customHeight="1">
      <c r="A21" s="1275"/>
      <c r="B21" s="1275"/>
      <c r="C21" s="1275"/>
      <c r="D21" s="1145" t="s">
        <v>669</v>
      </c>
      <c r="E21" s="1146">
        <v>0</v>
      </c>
      <c r="F21" s="1146">
        <v>80</v>
      </c>
      <c r="G21" s="1146">
        <v>90</v>
      </c>
      <c r="H21" s="1146">
        <v>95</v>
      </c>
    </row>
    <row r="22" spans="1:8" ht="30" customHeight="1">
      <c r="A22" s="1275"/>
      <c r="B22" s="1275"/>
      <c r="C22" s="1275"/>
      <c r="D22" s="1145" t="s">
        <v>670</v>
      </c>
      <c r="E22" s="1146">
        <v>0.001</v>
      </c>
      <c r="F22" s="1146">
        <v>0.001</v>
      </c>
      <c r="G22" s="1146">
        <v>0.001</v>
      </c>
      <c r="H22" s="1146">
        <v>0.001</v>
      </c>
    </row>
    <row r="23" spans="1:8" ht="30" customHeight="1">
      <c r="A23" s="1275"/>
      <c r="B23" s="1275"/>
      <c r="C23" s="1275"/>
      <c r="D23" s="1145" t="s">
        <v>671</v>
      </c>
      <c r="E23" s="1146">
        <v>0.001</v>
      </c>
      <c r="F23" s="1146">
        <v>0.001</v>
      </c>
      <c r="G23" s="1146">
        <v>0.001</v>
      </c>
      <c r="H23" s="1146">
        <v>0.001</v>
      </c>
    </row>
    <row r="24" spans="1:8" ht="30" customHeight="1">
      <c r="A24" s="1275" t="s">
        <v>400</v>
      </c>
      <c r="B24" s="1275"/>
      <c r="C24" s="1275"/>
      <c r="D24" s="1147" t="s">
        <v>460</v>
      </c>
      <c r="E24" s="1148">
        <v>0.6</v>
      </c>
      <c r="F24" s="1148">
        <v>0.8</v>
      </c>
      <c r="G24" s="1148">
        <v>0.95</v>
      </c>
      <c r="H24" s="1148">
        <v>0.99</v>
      </c>
    </row>
    <row r="25" spans="1:8" ht="30" customHeight="1">
      <c r="A25" s="1275"/>
      <c r="B25" s="1275"/>
      <c r="C25" s="1275"/>
      <c r="D25" s="1147" t="s">
        <v>462</v>
      </c>
      <c r="E25" s="1148">
        <v>0</v>
      </c>
      <c r="F25" s="1148">
        <v>60</v>
      </c>
      <c r="G25" s="1148">
        <v>75</v>
      </c>
      <c r="H25" s="1148">
        <v>85</v>
      </c>
    </row>
    <row r="26" spans="1:8" ht="30" customHeight="1">
      <c r="A26" s="1275"/>
      <c r="B26" s="1275"/>
      <c r="C26" s="1275"/>
      <c r="D26" s="1147" t="s">
        <v>466</v>
      </c>
      <c r="E26" s="1148">
        <v>5</v>
      </c>
      <c r="F26" s="1148">
        <v>8</v>
      </c>
      <c r="G26" s="1148">
        <v>10</v>
      </c>
      <c r="H26" s="1148">
        <v>15</v>
      </c>
    </row>
    <row r="27" spans="1:3" ht="15">
      <c r="A27" s="1282" t="s">
        <v>469</v>
      </c>
      <c r="B27" s="1282"/>
      <c r="C27" s="1282"/>
    </row>
  </sheetData>
  <sheetProtection/>
  <mergeCells count="14">
    <mergeCell ref="A1:H1"/>
    <mergeCell ref="A2:H2"/>
    <mergeCell ref="A3:C3"/>
    <mergeCell ref="A4:C9"/>
    <mergeCell ref="A10:C12"/>
    <mergeCell ref="A13:C14"/>
    <mergeCell ref="D13:D14"/>
    <mergeCell ref="E13:E14"/>
    <mergeCell ref="F13:F14"/>
    <mergeCell ref="G13:G14"/>
    <mergeCell ref="H13:H14"/>
    <mergeCell ref="A15:C23"/>
    <mergeCell ref="A24:C26"/>
    <mergeCell ref="A27:C2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Y91"/>
  <sheetViews>
    <sheetView tabSelected="1" zoomScalePageLayoutView="0" workbookViewId="0" topLeftCell="A1">
      <pane xSplit="10" ySplit="10" topLeftCell="AD81" activePane="bottomRight" state="frozen"/>
      <selection pane="topLeft" activeCell="A1" sqref="A1"/>
      <selection pane="topRight" activeCell="K1" sqref="K1"/>
      <selection pane="bottomLeft" activeCell="A11" sqref="A11"/>
      <selection pane="bottomRight" activeCell="H82" sqref="H82"/>
    </sheetView>
  </sheetViews>
  <sheetFormatPr defaultColWidth="11.421875" defaultRowHeight="23.25" customHeight="1"/>
  <cols>
    <col min="1" max="1" width="0.9921875" style="4" customWidth="1"/>
    <col min="2" max="2" width="4.57421875" style="151" customWidth="1"/>
    <col min="3" max="3" width="4.57421875" style="121" customWidth="1"/>
    <col min="4" max="4" width="3.8515625" style="121" customWidth="1"/>
    <col min="5" max="5" width="16.28125" style="4" customWidth="1"/>
    <col min="6" max="6" width="24.57421875" style="4" customWidth="1"/>
    <col min="7" max="7" width="13.421875" style="4" customWidth="1"/>
    <col min="8" max="8" width="20.7109375" style="4" customWidth="1"/>
    <col min="9" max="9" width="9.7109375" style="49" customWidth="1"/>
    <col min="10" max="10" width="11.00390625" style="12" customWidth="1"/>
    <col min="11" max="12" width="12.8515625" style="12" customWidth="1"/>
    <col min="13" max="13" width="9.28125" style="12" customWidth="1"/>
    <col min="14" max="14" width="9.28125" style="49" customWidth="1"/>
    <col min="15" max="15" width="14.57421875" style="940" customWidth="1"/>
    <col min="16" max="16" width="12.00390625" style="61" customWidth="1"/>
    <col min="17" max="17" width="8.8515625" style="61" customWidth="1"/>
    <col min="18" max="18" width="12.140625" style="49" customWidth="1"/>
    <col min="19" max="19" width="8.57421875" style="137" customWidth="1"/>
    <col min="20" max="20" width="11.140625" style="49" hidden="1" customWidth="1"/>
    <col min="21" max="21" width="8.8515625" style="49" hidden="1" customWidth="1"/>
    <col min="22" max="22" width="12.57421875" style="49" customWidth="1"/>
    <col min="23" max="23" width="6.140625" style="49" customWidth="1"/>
    <col min="24" max="26" width="13.57421875" style="62" customWidth="1"/>
    <col min="27" max="27" width="15.00390625" style="62" customWidth="1"/>
    <col min="28" max="28" width="14.7109375" style="417" hidden="1" customWidth="1"/>
    <col min="29" max="29" width="14.7109375" style="883" customWidth="1"/>
    <col min="30" max="30" width="9.8515625" style="631" customWidth="1"/>
    <col min="31" max="31" width="14.7109375" style="936" customWidth="1"/>
    <col min="32" max="32" width="14.7109375" style="12" customWidth="1"/>
    <col min="33" max="33" width="17.140625" style="883" hidden="1" customWidth="1"/>
    <col min="34" max="34" width="14.7109375" style="631" hidden="1" customWidth="1"/>
    <col min="35" max="35" width="14.8515625" style="620" customWidth="1"/>
    <col min="36" max="36" width="26.8515625" style="49" customWidth="1"/>
    <col min="37" max="37" width="33.00390625" style="557" customWidth="1"/>
    <col min="38" max="39" width="11.421875" style="4" customWidth="1"/>
    <col min="40" max="40" width="2.421875" style="4" customWidth="1"/>
    <col min="41" max="41" width="11.421875" style="4" customWidth="1"/>
    <col min="42" max="42" width="11.7109375" style="4" bestFit="1" customWidth="1"/>
    <col min="43" max="16384" width="11.421875" style="4" customWidth="1"/>
  </cols>
  <sheetData>
    <row r="1" spans="2:23" ht="23.25" customHeight="1" thickBot="1">
      <c r="B1" s="146"/>
      <c r="C1" s="113"/>
      <c r="D1" s="113"/>
      <c r="E1" s="5"/>
      <c r="F1" s="5"/>
      <c r="G1" s="5"/>
      <c r="H1" s="5"/>
      <c r="I1" s="39"/>
      <c r="J1" s="903"/>
      <c r="K1" s="903"/>
      <c r="L1" s="903"/>
      <c r="P1" s="630"/>
      <c r="Q1" s="630"/>
      <c r="R1" s="630"/>
      <c r="S1" s="630"/>
      <c r="T1" s="630"/>
      <c r="U1" s="630"/>
      <c r="V1" s="630"/>
      <c r="W1" s="630"/>
    </row>
    <row r="2" spans="2:23" ht="16.5" customHeight="1" thickBot="1">
      <c r="B2" s="839"/>
      <c r="C2" s="842"/>
      <c r="D2" s="842"/>
      <c r="E2" s="843"/>
      <c r="F2" s="838" t="s">
        <v>543</v>
      </c>
      <c r="G2" s="113"/>
      <c r="H2" s="113"/>
      <c r="I2" s="5"/>
      <c r="J2" s="903"/>
      <c r="K2" s="903"/>
      <c r="L2" s="903"/>
      <c r="M2" s="903"/>
      <c r="O2" s="940" t="s">
        <v>551</v>
      </c>
      <c r="P2" s="630"/>
      <c r="Q2" s="630"/>
      <c r="R2" s="630"/>
      <c r="S2" s="630"/>
      <c r="T2" s="630"/>
      <c r="U2" s="630"/>
      <c r="V2" s="630"/>
      <c r="W2" s="630"/>
    </row>
    <row r="3" spans="1:24" ht="23.25" customHeight="1">
      <c r="A3" s="6"/>
      <c r="B3" s="960" t="s">
        <v>544</v>
      </c>
      <c r="C3" s="961"/>
      <c r="D3" s="961"/>
      <c r="E3" s="962"/>
      <c r="F3" s="963" t="s">
        <v>681</v>
      </c>
      <c r="G3" s="621"/>
      <c r="H3" s="621"/>
      <c r="I3" s="621"/>
      <c r="J3" s="621"/>
      <c r="K3" s="904"/>
      <c r="L3" s="904"/>
      <c r="M3" s="905"/>
      <c r="O3" s="630"/>
      <c r="P3" s="1377" t="s">
        <v>680</v>
      </c>
      <c r="Q3" s="1377"/>
      <c r="R3" s="1377"/>
      <c r="S3" s="1377"/>
      <c r="T3" s="1377"/>
      <c r="U3" s="1377"/>
      <c r="V3" s="1377"/>
      <c r="W3" s="1377"/>
      <c r="X3" s="1377"/>
    </row>
    <row r="4" spans="1:23" ht="17.25" customHeight="1">
      <c r="A4" s="6"/>
      <c r="B4" s="960"/>
      <c r="C4" s="961"/>
      <c r="D4" s="961"/>
      <c r="E4" s="962"/>
      <c r="F4" s="840" t="s">
        <v>2</v>
      </c>
      <c r="G4" s="114"/>
      <c r="H4" s="114"/>
      <c r="I4" s="13"/>
      <c r="J4" s="13"/>
      <c r="K4" s="906"/>
      <c r="L4" s="10"/>
      <c r="M4" s="907"/>
      <c r="O4" s="630"/>
      <c r="P4" s="630"/>
      <c r="Q4" s="630"/>
      <c r="R4" s="630"/>
      <c r="S4" s="630"/>
      <c r="T4" s="630"/>
      <c r="U4" s="630"/>
      <c r="V4" s="630"/>
      <c r="W4" s="630"/>
    </row>
    <row r="5" spans="1:34" ht="15.75" customHeight="1">
      <c r="A5" s="6"/>
      <c r="B5" s="960"/>
      <c r="C5" s="961"/>
      <c r="D5" s="961"/>
      <c r="E5" s="962"/>
      <c r="F5" s="840" t="s">
        <v>33</v>
      </c>
      <c r="G5" s="115"/>
      <c r="H5" s="114"/>
      <c r="I5" s="13"/>
      <c r="J5" s="13"/>
      <c r="K5" s="10"/>
      <c r="L5" s="10"/>
      <c r="M5" s="907"/>
      <c r="P5" s="630"/>
      <c r="Q5" s="630"/>
      <c r="R5" s="630"/>
      <c r="S5" s="630"/>
      <c r="T5" s="630"/>
      <c r="U5" s="630"/>
      <c r="V5" s="630"/>
      <c r="X5" s="49"/>
      <c r="Y5" s="49"/>
      <c r="Z5" s="49"/>
      <c r="AA5" s="49"/>
      <c r="AB5" s="49"/>
      <c r="AC5" s="49"/>
      <c r="AD5" s="49"/>
      <c r="AE5" s="49"/>
      <c r="AG5" s="49"/>
      <c r="AH5" s="49"/>
    </row>
    <row r="6" spans="2:34" ht="10.5" customHeight="1" thickBot="1">
      <c r="B6" s="844"/>
      <c r="C6" s="845"/>
      <c r="D6" s="845"/>
      <c r="E6" s="846"/>
      <c r="F6" s="841"/>
      <c r="G6" s="622"/>
      <c r="H6" s="622"/>
      <c r="I6" s="623"/>
      <c r="J6" s="623"/>
      <c r="K6" s="623"/>
      <c r="L6" s="623"/>
      <c r="M6" s="624"/>
      <c r="X6" s="49"/>
      <c r="Y6" s="49"/>
      <c r="Z6" s="49"/>
      <c r="AA6" s="49"/>
      <c r="AB6" s="49"/>
      <c r="AC6" s="49"/>
      <c r="AD6" s="49"/>
      <c r="AE6" s="49"/>
      <c r="AG6" s="49"/>
      <c r="AH6" s="49"/>
    </row>
    <row r="7" spans="2:34" ht="14.25" customHeight="1" thickBot="1">
      <c r="B7" s="147"/>
      <c r="C7" s="117"/>
      <c r="D7" s="117"/>
      <c r="E7" s="17"/>
      <c r="F7" s="17"/>
      <c r="G7" s="17"/>
      <c r="H7" s="17"/>
      <c r="I7" s="44"/>
      <c r="J7" s="908"/>
      <c r="K7" s="1352" t="s">
        <v>601</v>
      </c>
      <c r="L7" s="1352"/>
      <c r="M7" s="1352"/>
      <c r="N7" s="1352"/>
      <c r="O7" s="1352"/>
      <c r="P7" s="1352"/>
      <c r="Q7" s="1352"/>
      <c r="R7" s="1352"/>
      <c r="S7" s="1352"/>
      <c r="T7" s="1352"/>
      <c r="U7" s="1352"/>
      <c r="V7" s="1352"/>
      <c r="W7" s="1353"/>
      <c r="X7" s="1380" t="s">
        <v>600</v>
      </c>
      <c r="Y7" s="1381"/>
      <c r="Z7" s="1381"/>
      <c r="AA7" s="1381"/>
      <c r="AB7" s="1381"/>
      <c r="AC7" s="1381"/>
      <c r="AD7" s="1381"/>
      <c r="AE7" s="1381"/>
      <c r="AF7" s="1381"/>
      <c r="AG7" s="1381"/>
      <c r="AH7" s="1382"/>
    </row>
    <row r="8" spans="2:37" ht="33" customHeight="1" thickBot="1">
      <c r="B8" s="964" t="s">
        <v>4</v>
      </c>
      <c r="C8" s="965"/>
      <c r="D8" s="965"/>
      <c r="E8" s="965"/>
      <c r="F8" s="965"/>
      <c r="G8" s="966"/>
      <c r="H8" s="166"/>
      <c r="I8" s="166"/>
      <c r="J8" s="166"/>
      <c r="K8" s="967" t="s">
        <v>568</v>
      </c>
      <c r="L8" s="968"/>
      <c r="M8" s="968"/>
      <c r="N8" s="968"/>
      <c r="O8" s="1066"/>
      <c r="P8" s="1354" t="s">
        <v>578</v>
      </c>
      <c r="Q8" s="1355"/>
      <c r="R8" s="1355"/>
      <c r="S8" s="1355"/>
      <c r="T8" s="1355"/>
      <c r="U8" s="1355"/>
      <c r="V8" s="1356"/>
      <c r="W8" s="969" t="s">
        <v>542</v>
      </c>
      <c r="X8" s="1342" t="s">
        <v>672</v>
      </c>
      <c r="Y8" s="1343"/>
      <c r="Z8" s="1344"/>
      <c r="AA8" s="1383" t="s">
        <v>284</v>
      </c>
      <c r="AB8" s="1049"/>
      <c r="AC8" s="1345" t="s">
        <v>673</v>
      </c>
      <c r="AD8" s="1346"/>
      <c r="AE8" s="1346"/>
      <c r="AF8" s="1347"/>
      <c r="AG8" s="1050"/>
      <c r="AH8" s="1051"/>
      <c r="AI8" s="1363" t="s">
        <v>287</v>
      </c>
      <c r="AJ8" s="1366" t="s">
        <v>19</v>
      </c>
      <c r="AK8" s="1369" t="s">
        <v>20</v>
      </c>
    </row>
    <row r="9" spans="2:37" ht="23.25" customHeight="1" thickBot="1">
      <c r="B9" s="970" t="s">
        <v>7</v>
      </c>
      <c r="C9" s="970" t="s">
        <v>8</v>
      </c>
      <c r="D9" s="970" t="s">
        <v>9</v>
      </c>
      <c r="E9" s="971" t="s">
        <v>10</v>
      </c>
      <c r="F9" s="971" t="s">
        <v>11</v>
      </c>
      <c r="G9" s="971" t="s">
        <v>474</v>
      </c>
      <c r="H9" s="971" t="s">
        <v>13</v>
      </c>
      <c r="I9" s="971" t="s">
        <v>579</v>
      </c>
      <c r="J9" s="971" t="s">
        <v>580</v>
      </c>
      <c r="K9" s="1042" t="s">
        <v>575</v>
      </c>
      <c r="L9" s="1042" t="s">
        <v>576</v>
      </c>
      <c r="M9" s="1042" t="s">
        <v>577</v>
      </c>
      <c r="N9" s="972" t="s">
        <v>289</v>
      </c>
      <c r="O9" s="1067" t="s">
        <v>566</v>
      </c>
      <c r="P9" s="973" t="s">
        <v>195</v>
      </c>
      <c r="Q9" s="974"/>
      <c r="R9" s="973" t="s">
        <v>193</v>
      </c>
      <c r="S9" s="974"/>
      <c r="T9" s="973" t="s">
        <v>194</v>
      </c>
      <c r="U9" s="974"/>
      <c r="V9" s="924" t="s">
        <v>282</v>
      </c>
      <c r="W9" s="975"/>
      <c r="X9" s="1375" t="s">
        <v>574</v>
      </c>
      <c r="Y9" s="1375" t="s">
        <v>582</v>
      </c>
      <c r="Z9" s="1375" t="s">
        <v>581</v>
      </c>
      <c r="AA9" s="1384"/>
      <c r="AB9" s="976" t="s">
        <v>285</v>
      </c>
      <c r="AC9" s="1386" t="s">
        <v>560</v>
      </c>
      <c r="AD9" s="1388" t="s">
        <v>562</v>
      </c>
      <c r="AE9" s="1348" t="s">
        <v>555</v>
      </c>
      <c r="AF9" s="1350" t="s">
        <v>563</v>
      </c>
      <c r="AG9" s="1151"/>
      <c r="AH9" s="1151"/>
      <c r="AI9" s="1364"/>
      <c r="AJ9" s="1367"/>
      <c r="AK9" s="1370"/>
    </row>
    <row r="10" spans="2:37" ht="48" customHeight="1" thickBot="1">
      <c r="B10" s="977"/>
      <c r="C10" s="977"/>
      <c r="D10" s="977"/>
      <c r="E10" s="978"/>
      <c r="F10" s="978"/>
      <c r="G10" s="978"/>
      <c r="H10" s="978"/>
      <c r="I10" s="978"/>
      <c r="J10" s="978"/>
      <c r="K10" s="1043"/>
      <c r="L10" s="1043"/>
      <c r="M10" s="1043"/>
      <c r="N10" s="979"/>
      <c r="O10" s="1068"/>
      <c r="P10" s="674" t="s">
        <v>557</v>
      </c>
      <c r="Q10" s="674" t="s">
        <v>565</v>
      </c>
      <c r="R10" s="674" t="s">
        <v>557</v>
      </c>
      <c r="S10" s="674" t="s">
        <v>565</v>
      </c>
      <c r="T10" s="674" t="s">
        <v>557</v>
      </c>
      <c r="U10" s="674" t="s">
        <v>565</v>
      </c>
      <c r="V10" s="925"/>
      <c r="W10" s="980"/>
      <c r="X10" s="1376"/>
      <c r="Y10" s="1376"/>
      <c r="Z10" s="1376"/>
      <c r="AA10" s="1385"/>
      <c r="AB10" s="981"/>
      <c r="AC10" s="1387"/>
      <c r="AD10" s="1389"/>
      <c r="AE10" s="1349"/>
      <c r="AF10" s="1351"/>
      <c r="AG10" s="884" t="s">
        <v>556</v>
      </c>
      <c r="AH10" s="675" t="s">
        <v>564</v>
      </c>
      <c r="AI10" s="1365"/>
      <c r="AJ10" s="1368"/>
      <c r="AK10" s="1371"/>
    </row>
    <row r="11" spans="1:37" ht="18" customHeight="1" thickBot="1">
      <c r="A11" s="4">
        <v>1</v>
      </c>
      <c r="B11" s="1361" t="s">
        <v>396</v>
      </c>
      <c r="C11" s="1362"/>
      <c r="D11" s="1362"/>
      <c r="E11" s="1362"/>
      <c r="F11" s="1362"/>
      <c r="G11" s="1362"/>
      <c r="H11" s="1362"/>
      <c r="I11" s="1362"/>
      <c r="J11" s="1362"/>
      <c r="K11" s="822"/>
      <c r="L11" s="691"/>
      <c r="M11" s="691"/>
      <c r="N11" s="821"/>
      <c r="O11" s="1069"/>
      <c r="P11" s="821"/>
      <c r="Q11" s="821"/>
      <c r="R11" s="821"/>
      <c r="S11" s="869"/>
      <c r="T11" s="821"/>
      <c r="U11" s="821"/>
      <c r="V11" s="821"/>
      <c r="W11" s="821"/>
      <c r="X11" s="656"/>
      <c r="Y11" s="656"/>
      <c r="Z11" s="656"/>
      <c r="AA11" s="821"/>
      <c r="AB11" s="676"/>
      <c r="AC11" s="885"/>
      <c r="AD11" s="676"/>
      <c r="AE11" s="815"/>
      <c r="AF11" s="815"/>
      <c r="AG11" s="885"/>
      <c r="AH11" s="676"/>
      <c r="AI11" s="676"/>
      <c r="AJ11" s="676"/>
      <c r="AK11" s="677"/>
    </row>
    <row r="12" spans="2:37" ht="26.25" customHeight="1">
      <c r="B12" s="1324" t="s">
        <v>513</v>
      </c>
      <c r="C12" s="1325"/>
      <c r="D12" s="1325"/>
      <c r="E12" s="1325"/>
      <c r="F12" s="1325"/>
      <c r="G12" s="1325"/>
      <c r="H12" s="1325"/>
      <c r="I12" s="1325"/>
      <c r="J12" s="1325"/>
      <c r="K12" s="822"/>
      <c r="L12" s="822"/>
      <c r="M12" s="822"/>
      <c r="N12" s="821"/>
      <c r="O12" s="1069"/>
      <c r="P12" s="821"/>
      <c r="Q12" s="821"/>
      <c r="R12" s="821"/>
      <c r="S12" s="869"/>
      <c r="T12" s="821"/>
      <c r="U12" s="821"/>
      <c r="V12" s="821"/>
      <c r="W12" s="821"/>
      <c r="X12" s="821"/>
      <c r="Y12" s="821"/>
      <c r="Z12" s="821"/>
      <c r="AA12" s="824"/>
      <c r="AB12" s="656"/>
      <c r="AC12" s="886"/>
      <c r="AD12" s="656"/>
      <c r="AE12" s="691"/>
      <c r="AF12" s="691"/>
      <c r="AG12" s="886"/>
      <c r="AH12" s="656"/>
      <c r="AI12" s="656"/>
      <c r="AJ12" s="656"/>
      <c r="AK12" s="656"/>
    </row>
    <row r="13" spans="1:41" ht="57.75" customHeight="1">
      <c r="A13" s="21"/>
      <c r="B13" s="193" t="s">
        <v>385</v>
      </c>
      <c r="C13" s="193" t="s">
        <v>200</v>
      </c>
      <c r="D13" s="193" t="s">
        <v>202</v>
      </c>
      <c r="E13" s="1326" t="s">
        <v>573</v>
      </c>
      <c r="F13" s="79" t="s">
        <v>570</v>
      </c>
      <c r="G13" s="79" t="s">
        <v>571</v>
      </c>
      <c r="H13" s="79" t="s">
        <v>470</v>
      </c>
      <c r="I13" s="1122">
        <v>1</v>
      </c>
      <c r="J13" s="1122">
        <v>18</v>
      </c>
      <c r="K13" s="790">
        <v>13</v>
      </c>
      <c r="L13" s="790">
        <v>5</v>
      </c>
      <c r="M13" s="790">
        <v>0</v>
      </c>
      <c r="N13" s="87">
        <f>+M13+L13+K13</f>
        <v>18</v>
      </c>
      <c r="O13" s="1070">
        <v>2046684</v>
      </c>
      <c r="P13" s="196">
        <v>13</v>
      </c>
      <c r="Q13" s="930">
        <f aca="true" t="shared" si="0" ref="Q13:Q18">+P13/K13</f>
        <v>1</v>
      </c>
      <c r="R13" s="800"/>
      <c r="S13" s="930"/>
      <c r="T13" s="196">
        <v>0</v>
      </c>
      <c r="U13" s="928"/>
      <c r="V13" s="1123">
        <f aca="true" t="shared" si="1" ref="V13:V18">+T13+R13+P13</f>
        <v>13</v>
      </c>
      <c r="W13" s="864"/>
      <c r="X13" s="199">
        <v>0</v>
      </c>
      <c r="Y13" s="1059">
        <v>2046684</v>
      </c>
      <c r="Z13" s="199">
        <v>0</v>
      </c>
      <c r="AA13" s="809">
        <f>SUM(X13:Z13)</f>
        <v>2046684</v>
      </c>
      <c r="AB13" s="438">
        <f aca="true" t="shared" si="2" ref="AB13:AB18">+AA13-O13</f>
        <v>0</v>
      </c>
      <c r="AC13" s="887">
        <v>0</v>
      </c>
      <c r="AD13" s="669">
        <v>0</v>
      </c>
      <c r="AE13" s="1149"/>
      <c r="AF13" s="1243">
        <v>0</v>
      </c>
      <c r="AG13" s="943">
        <v>0</v>
      </c>
      <c r="AH13" s="669"/>
      <c r="AI13" s="608">
        <f aca="true" t="shared" si="3" ref="AI13:AI18">+AE13+AC13</f>
        <v>0</v>
      </c>
      <c r="AJ13" s="96" t="s">
        <v>606</v>
      </c>
      <c r="AK13" s="562" t="s">
        <v>604</v>
      </c>
      <c r="AO13" s="725">
        <f>+AA13-O13</f>
        <v>0</v>
      </c>
    </row>
    <row r="14" spans="1:45" ht="45.75" customHeight="1">
      <c r="A14" s="21"/>
      <c r="B14" s="193" t="s">
        <v>385</v>
      </c>
      <c r="C14" s="193" t="s">
        <v>200</v>
      </c>
      <c r="D14" s="193" t="s">
        <v>202</v>
      </c>
      <c r="E14" s="1327"/>
      <c r="F14" s="32" t="s">
        <v>536</v>
      </c>
      <c r="G14" s="32" t="s">
        <v>530</v>
      </c>
      <c r="H14" s="1048" t="s">
        <v>529</v>
      </c>
      <c r="I14" s="799">
        <v>1</v>
      </c>
      <c r="J14" s="953">
        <v>12</v>
      </c>
      <c r="K14" s="790">
        <v>4</v>
      </c>
      <c r="L14" s="790">
        <v>4</v>
      </c>
      <c r="M14" s="790">
        <v>4</v>
      </c>
      <c r="N14" s="87">
        <f>+M14+L14+K14</f>
        <v>12</v>
      </c>
      <c r="O14" s="1070">
        <v>630000</v>
      </c>
      <c r="P14" s="196">
        <v>4</v>
      </c>
      <c r="Q14" s="930">
        <f t="shared" si="0"/>
        <v>1</v>
      </c>
      <c r="R14" s="800">
        <v>0</v>
      </c>
      <c r="S14" s="876">
        <v>0</v>
      </c>
      <c r="T14" s="196">
        <v>0</v>
      </c>
      <c r="U14" s="928">
        <v>0</v>
      </c>
      <c r="V14" s="1123">
        <f t="shared" si="1"/>
        <v>4</v>
      </c>
      <c r="W14" s="203"/>
      <c r="X14" s="60">
        <v>0</v>
      </c>
      <c r="Y14" s="795">
        <v>630000</v>
      </c>
      <c r="Z14" s="795">
        <v>0</v>
      </c>
      <c r="AA14" s="809">
        <f>SUM(X14:Z14)</f>
        <v>630000</v>
      </c>
      <c r="AB14" s="438">
        <f t="shared" si="2"/>
        <v>0</v>
      </c>
      <c r="AC14" s="796">
        <v>0</v>
      </c>
      <c r="AD14" s="796">
        <v>0</v>
      </c>
      <c r="AE14" s="1150">
        <v>0</v>
      </c>
      <c r="AF14" s="796">
        <v>0</v>
      </c>
      <c r="AG14" s="796">
        <v>0</v>
      </c>
      <c r="AH14" s="923">
        <f>+AG14/Y14/100</f>
        <v>0</v>
      </c>
      <c r="AI14" s="608">
        <f t="shared" si="3"/>
        <v>0</v>
      </c>
      <c r="AJ14" s="798" t="s">
        <v>605</v>
      </c>
      <c r="AK14" s="203"/>
      <c r="AL14" s="12"/>
      <c r="AM14" s="12"/>
      <c r="AN14" s="12"/>
      <c r="AO14" s="725">
        <f>+AA14-O14</f>
        <v>0</v>
      </c>
      <c r="AP14" s="12"/>
      <c r="AQ14" s="12"/>
      <c r="AR14" s="12"/>
      <c r="AS14" s="12"/>
    </row>
    <row r="15" spans="1:41" ht="64.5" customHeight="1">
      <c r="A15" s="21"/>
      <c r="B15" s="193">
        <v>90</v>
      </c>
      <c r="C15" s="193">
        <v>0</v>
      </c>
      <c r="D15" s="193">
        <v>2</v>
      </c>
      <c r="E15" s="1327"/>
      <c r="F15" s="32" t="s">
        <v>528</v>
      </c>
      <c r="G15" s="32" t="s">
        <v>572</v>
      </c>
      <c r="H15" s="32" t="s">
        <v>77</v>
      </c>
      <c r="I15" s="58">
        <v>3</v>
      </c>
      <c r="J15" s="34">
        <v>3</v>
      </c>
      <c r="K15" s="790">
        <v>1</v>
      </c>
      <c r="L15" s="790">
        <v>1</v>
      </c>
      <c r="M15" s="790">
        <v>1</v>
      </c>
      <c r="N15" s="87">
        <f>+M15+L15+K15</f>
        <v>3</v>
      </c>
      <c r="O15" s="1070">
        <v>0</v>
      </c>
      <c r="P15" s="196">
        <v>1</v>
      </c>
      <c r="Q15" s="930">
        <f t="shared" si="0"/>
        <v>1</v>
      </c>
      <c r="R15" s="196">
        <v>1</v>
      </c>
      <c r="S15" s="876">
        <f>+R15/L15*100</f>
        <v>100</v>
      </c>
      <c r="T15" s="196"/>
      <c r="U15" s="928">
        <v>0</v>
      </c>
      <c r="V15" s="1123">
        <f t="shared" si="1"/>
        <v>2</v>
      </c>
      <c r="W15" s="634"/>
      <c r="X15" s="60">
        <v>0</v>
      </c>
      <c r="Y15" s="199">
        <v>0</v>
      </c>
      <c r="Z15" s="199">
        <v>0</v>
      </c>
      <c r="AA15" s="809">
        <f>SUM(X15:Z15)</f>
        <v>0</v>
      </c>
      <c r="AB15" s="438">
        <f t="shared" si="2"/>
        <v>0</v>
      </c>
      <c r="AC15" s="796">
        <v>0</v>
      </c>
      <c r="AD15" s="107">
        <v>0</v>
      </c>
      <c r="AE15" s="1150">
        <v>0</v>
      </c>
      <c r="AF15" s="796">
        <v>0</v>
      </c>
      <c r="AG15" s="944"/>
      <c r="AH15" s="923">
        <v>0</v>
      </c>
      <c r="AI15" s="608">
        <f t="shared" si="3"/>
        <v>0</v>
      </c>
      <c r="AJ15" s="566" t="s">
        <v>561</v>
      </c>
      <c r="AK15" s="628"/>
      <c r="AO15" s="725">
        <f>+AA15-O15</f>
        <v>0</v>
      </c>
    </row>
    <row r="16" spans="1:45" ht="45.75" customHeight="1">
      <c r="A16" s="21"/>
      <c r="B16" s="193">
        <v>90</v>
      </c>
      <c r="C16" s="193" t="s">
        <v>200</v>
      </c>
      <c r="D16" s="193" t="s">
        <v>202</v>
      </c>
      <c r="E16" s="1327"/>
      <c r="F16" s="32" t="s">
        <v>534</v>
      </c>
      <c r="G16" s="32" t="s">
        <v>533</v>
      </c>
      <c r="H16" s="1048" t="s">
        <v>535</v>
      </c>
      <c r="I16" s="799">
        <v>14</v>
      </c>
      <c r="J16" s="791">
        <v>14</v>
      </c>
      <c r="K16" s="790">
        <v>4</v>
      </c>
      <c r="L16" s="790">
        <v>5</v>
      </c>
      <c r="M16" s="790">
        <v>5</v>
      </c>
      <c r="N16" s="87">
        <f>+M16+L16+K16</f>
        <v>14</v>
      </c>
      <c r="O16" s="1070">
        <v>950000</v>
      </c>
      <c r="P16" s="196">
        <v>4</v>
      </c>
      <c r="Q16" s="930">
        <f t="shared" si="0"/>
        <v>1</v>
      </c>
      <c r="R16" s="196">
        <v>5</v>
      </c>
      <c r="S16" s="876">
        <f>+R16/L16*100</f>
        <v>100</v>
      </c>
      <c r="T16" s="196">
        <v>0</v>
      </c>
      <c r="U16" s="929">
        <f>+T16/M16*100</f>
        <v>0</v>
      </c>
      <c r="V16" s="1123">
        <f t="shared" si="1"/>
        <v>9</v>
      </c>
      <c r="W16" s="203"/>
      <c r="X16" s="1060">
        <v>268000</v>
      </c>
      <c r="Y16" s="795">
        <v>331000</v>
      </c>
      <c r="Z16" s="795">
        <v>351000</v>
      </c>
      <c r="AA16" s="809">
        <f>SUM(X16:Z16)</f>
        <v>950000</v>
      </c>
      <c r="AB16" s="438">
        <f t="shared" si="2"/>
        <v>0</v>
      </c>
      <c r="AC16" s="1016">
        <v>267277.33</v>
      </c>
      <c r="AD16" s="796">
        <f>+AC16/Y16</f>
        <v>0.8074843806646527</v>
      </c>
      <c r="AE16" s="1152">
        <v>353445.9</v>
      </c>
      <c r="AF16" s="796">
        <f>+AE16/Y16</f>
        <v>1.0678123867069487</v>
      </c>
      <c r="AG16" s="888">
        <v>0</v>
      </c>
      <c r="AH16" s="923">
        <f>+AG16/Y16/100</f>
        <v>0</v>
      </c>
      <c r="AI16" s="608">
        <f t="shared" si="3"/>
        <v>620723.23</v>
      </c>
      <c r="AJ16" s="566" t="s">
        <v>561</v>
      </c>
      <c r="AK16" s="203"/>
      <c r="AL16" s="12"/>
      <c r="AM16" s="12"/>
      <c r="AN16" s="12"/>
      <c r="AO16" s="725">
        <f>+O16-AA16</f>
        <v>0</v>
      </c>
      <c r="AP16" s="12"/>
      <c r="AQ16" s="12"/>
      <c r="AR16" s="12"/>
      <c r="AS16" s="12"/>
    </row>
    <row r="17" spans="1:45" ht="45.75" customHeight="1">
      <c r="A17" s="21"/>
      <c r="B17" s="193"/>
      <c r="C17" s="193"/>
      <c r="D17" s="193"/>
      <c r="E17" s="1327"/>
      <c r="F17" s="32" t="s">
        <v>552</v>
      </c>
      <c r="G17" s="32" t="s">
        <v>553</v>
      </c>
      <c r="H17" s="1048" t="s">
        <v>554</v>
      </c>
      <c r="I17" s="799">
        <v>90</v>
      </c>
      <c r="J17" s="953">
        <v>90</v>
      </c>
      <c r="K17" s="790">
        <v>90</v>
      </c>
      <c r="L17" s="790">
        <v>90</v>
      </c>
      <c r="M17" s="790">
        <v>90</v>
      </c>
      <c r="N17" s="87">
        <v>90</v>
      </c>
      <c r="O17" s="1070">
        <v>0</v>
      </c>
      <c r="P17" s="196">
        <v>0</v>
      </c>
      <c r="Q17" s="930">
        <f t="shared" si="0"/>
        <v>0</v>
      </c>
      <c r="R17" s="930">
        <v>0.99</v>
      </c>
      <c r="S17" s="1054">
        <v>1</v>
      </c>
      <c r="T17" s="196">
        <v>98</v>
      </c>
      <c r="U17" s="929">
        <v>0</v>
      </c>
      <c r="V17" s="1123">
        <f t="shared" si="1"/>
        <v>98.99</v>
      </c>
      <c r="W17" s="203"/>
      <c r="X17" s="60"/>
      <c r="Y17" s="795"/>
      <c r="Z17" s="795"/>
      <c r="AA17" s="795"/>
      <c r="AB17" s="438">
        <f t="shared" si="2"/>
        <v>0</v>
      </c>
      <c r="AC17" s="796">
        <v>0</v>
      </c>
      <c r="AD17" s="1124">
        <v>0</v>
      </c>
      <c r="AE17" s="796">
        <v>0</v>
      </c>
      <c r="AF17" s="923">
        <v>0</v>
      </c>
      <c r="AG17" s="942"/>
      <c r="AH17" s="923">
        <v>0</v>
      </c>
      <c r="AI17" s="608">
        <f t="shared" si="3"/>
        <v>0</v>
      </c>
      <c r="AJ17" s="566" t="s">
        <v>607</v>
      </c>
      <c r="AK17" s="203"/>
      <c r="AL17" s="12"/>
      <c r="AM17" s="12"/>
      <c r="AN17" s="12"/>
      <c r="AO17" s="725"/>
      <c r="AP17" s="12"/>
      <c r="AQ17" s="12"/>
      <c r="AR17" s="12"/>
      <c r="AS17" s="12"/>
    </row>
    <row r="18" spans="1:45" ht="48.75" customHeight="1">
      <c r="A18" s="21"/>
      <c r="B18" s="193"/>
      <c r="C18" s="193"/>
      <c r="D18" s="193"/>
      <c r="E18" s="1328"/>
      <c r="F18" s="193" t="s">
        <v>498</v>
      </c>
      <c r="G18" s="95" t="s">
        <v>476</v>
      </c>
      <c r="H18" s="95" t="s">
        <v>500</v>
      </c>
      <c r="I18" s="793">
        <v>3</v>
      </c>
      <c r="J18" s="793">
        <v>3</v>
      </c>
      <c r="K18" s="790">
        <v>1</v>
      </c>
      <c r="L18" s="790">
        <v>1</v>
      </c>
      <c r="M18" s="790">
        <v>1</v>
      </c>
      <c r="N18" s="87">
        <f>+M18+L18+K18</f>
        <v>3</v>
      </c>
      <c r="O18" s="1070">
        <v>0</v>
      </c>
      <c r="P18" s="196">
        <v>1</v>
      </c>
      <c r="Q18" s="930">
        <f t="shared" si="0"/>
        <v>1</v>
      </c>
      <c r="R18" s="196">
        <v>1</v>
      </c>
      <c r="S18" s="876">
        <f>+R18/L18*100</f>
        <v>100</v>
      </c>
      <c r="T18" s="196">
        <v>0</v>
      </c>
      <c r="U18" s="929">
        <v>0</v>
      </c>
      <c r="V18" s="1123">
        <f t="shared" si="1"/>
        <v>2</v>
      </c>
      <c r="W18" s="823"/>
      <c r="X18" s="794">
        <v>0</v>
      </c>
      <c r="Y18" s="795">
        <v>0</v>
      </c>
      <c r="Z18" s="795">
        <v>0</v>
      </c>
      <c r="AA18" s="795"/>
      <c r="AB18" s="438">
        <f t="shared" si="2"/>
        <v>0</v>
      </c>
      <c r="AC18" s="888"/>
      <c r="AD18" s="1124">
        <v>0</v>
      </c>
      <c r="AE18" s="796">
        <v>0</v>
      </c>
      <c r="AF18" s="923">
        <v>0</v>
      </c>
      <c r="AG18" s="942"/>
      <c r="AH18" s="923">
        <v>0</v>
      </c>
      <c r="AI18" s="608">
        <f t="shared" si="3"/>
        <v>0</v>
      </c>
      <c r="AJ18" s="798" t="s">
        <v>608</v>
      </c>
      <c r="AK18" s="203"/>
      <c r="AL18" s="12"/>
      <c r="AM18" s="12"/>
      <c r="AN18" s="12"/>
      <c r="AO18" s="725">
        <f>+AA18-O18</f>
        <v>0</v>
      </c>
      <c r="AP18" s="12"/>
      <c r="AQ18" s="12"/>
      <c r="AR18" s="12"/>
      <c r="AS18" s="12"/>
    </row>
    <row r="19" spans="2:41" ht="27" customHeight="1" thickBot="1">
      <c r="B19" s="726"/>
      <c r="C19" s="727"/>
      <c r="D19" s="728"/>
      <c r="E19" s="729"/>
      <c r="F19" s="730"/>
      <c r="G19" s="678"/>
      <c r="H19" s="678"/>
      <c r="I19" s="733" t="s">
        <v>532</v>
      </c>
      <c r="J19" s="816">
        <f>SUM(J13:J18)-90</f>
        <v>50</v>
      </c>
      <c r="K19" s="816">
        <f>SUM(K13:K18)-90</f>
        <v>23</v>
      </c>
      <c r="L19" s="816">
        <f>SUM(L13:L18)-90</f>
        <v>16</v>
      </c>
      <c r="M19" s="816">
        <f>SUM(M13:M18)-90</f>
        <v>11</v>
      </c>
      <c r="N19" s="816">
        <f>SUM(N13:N18)-90</f>
        <v>50</v>
      </c>
      <c r="O19" s="1072">
        <f>SUM(O13:O18)</f>
        <v>3626684</v>
      </c>
      <c r="P19" s="733">
        <f>SUM(P13:P18)-P17</f>
        <v>23</v>
      </c>
      <c r="Q19" s="1120"/>
      <c r="R19" s="733">
        <f>SUM(R13:R18)-R17</f>
        <v>7</v>
      </c>
      <c r="S19" s="1121"/>
      <c r="T19" s="733">
        <f>SUM(T13:T18)-T17</f>
        <v>0</v>
      </c>
      <c r="U19" s="1120"/>
      <c r="V19" s="733">
        <f>SUM(V13:V18)-V17</f>
        <v>30.000000000000014</v>
      </c>
      <c r="W19" s="816">
        <f>SUM(W13:W18)</f>
        <v>0</v>
      </c>
      <c r="X19" s="1061">
        <f>SUM(X13:X18)</f>
        <v>268000</v>
      </c>
      <c r="Y19" s="1061">
        <f>SUM(Y13:Y18)</f>
        <v>3007684</v>
      </c>
      <c r="Z19" s="1061">
        <f>SUM(Z13:Z18)</f>
        <v>351000</v>
      </c>
      <c r="AA19" s="1061">
        <f>SUM(AA13:AA18)</f>
        <v>3626684</v>
      </c>
      <c r="AB19" s="439"/>
      <c r="AC19" s="733">
        <f>SUM(AC13:AC18)</f>
        <v>267277.33</v>
      </c>
      <c r="AD19" s="1125">
        <f>+AC19/AA19</f>
        <v>0.07369744096811302</v>
      </c>
      <c r="AE19" s="733">
        <f>SUM(AE13:AE18)</f>
        <v>353445.9</v>
      </c>
      <c r="AF19" s="1244"/>
      <c r="AG19" s="733">
        <f>SUM(AG13:AG18)</f>
        <v>0</v>
      </c>
      <c r="AH19" s="733"/>
      <c r="AI19" s="733">
        <f>SUM(AI13:AI18)</f>
        <v>620723.23</v>
      </c>
      <c r="AJ19" s="731"/>
      <c r="AK19" s="732"/>
      <c r="AO19" s="725"/>
    </row>
    <row r="20" spans="1:41" ht="7.5" customHeight="1" thickBot="1">
      <c r="A20" s="685"/>
      <c r="B20" s="686"/>
      <c r="C20" s="686"/>
      <c r="D20" s="687"/>
      <c r="E20" s="688"/>
      <c r="F20" s="689"/>
      <c r="G20" s="689"/>
      <c r="H20" s="689"/>
      <c r="I20" s="689"/>
      <c r="J20" s="817"/>
      <c r="K20" s="817"/>
      <c r="L20" s="817"/>
      <c r="M20" s="817"/>
      <c r="N20" s="689"/>
      <c r="O20" s="1073"/>
      <c r="P20" s="931"/>
      <c r="Q20" s="931"/>
      <c r="R20" s="931"/>
      <c r="S20" s="932"/>
      <c r="T20" s="931"/>
      <c r="U20" s="931"/>
      <c r="V20" s="931"/>
      <c r="W20" s="817"/>
      <c r="X20" s="1062"/>
      <c r="Y20" s="1062"/>
      <c r="Z20" s="1062"/>
      <c r="AA20" s="1063"/>
      <c r="AB20" s="689"/>
      <c r="AC20" s="890"/>
      <c r="AD20" s="689"/>
      <c r="AE20" s="817"/>
      <c r="AF20" s="1245"/>
      <c r="AG20" s="890"/>
      <c r="AH20" s="689"/>
      <c r="AI20" s="689"/>
      <c r="AJ20" s="690"/>
      <c r="AK20" s="4"/>
      <c r="AO20" s="725"/>
    </row>
    <row r="21" spans="1:46" ht="23.25" customHeight="1" thickBot="1">
      <c r="A21" s="4">
        <v>2</v>
      </c>
      <c r="B21" s="1357" t="s">
        <v>397</v>
      </c>
      <c r="C21" s="1358"/>
      <c r="D21" s="1358"/>
      <c r="E21" s="1358"/>
      <c r="F21" s="1358"/>
      <c r="G21" s="1358"/>
      <c r="H21" s="1358"/>
      <c r="I21" s="1358"/>
      <c r="J21" s="1358"/>
      <c r="K21" s="818"/>
      <c r="L21" s="818"/>
      <c r="M21" s="818"/>
      <c r="N21" s="679"/>
      <c r="O21" s="1074"/>
      <c r="P21" s="679"/>
      <c r="Q21" s="679"/>
      <c r="R21" s="679"/>
      <c r="S21" s="872"/>
      <c r="T21" s="679"/>
      <c r="U21" s="679"/>
      <c r="V21" s="662"/>
      <c r="W21" s="666"/>
      <c r="X21" s="1064"/>
      <c r="Y21" s="1064"/>
      <c r="Z21" s="1064"/>
      <c r="AA21" s="1064"/>
      <c r="AB21" s="676"/>
      <c r="AC21" s="885"/>
      <c r="AD21" s="676"/>
      <c r="AE21" s="815"/>
      <c r="AF21" s="815"/>
      <c r="AG21" s="885"/>
      <c r="AH21" s="676"/>
      <c r="AI21" s="676"/>
      <c r="AJ21" s="676"/>
      <c r="AK21" s="677"/>
      <c r="AL21" s="112"/>
      <c r="AM21" s="112"/>
      <c r="AN21" s="112"/>
      <c r="AO21" s="725">
        <f>+AA21-O21</f>
        <v>0</v>
      </c>
      <c r="AP21" s="112"/>
      <c r="AQ21" s="112"/>
      <c r="AR21" s="112"/>
      <c r="AS21" s="112"/>
      <c r="AT21" s="112"/>
    </row>
    <row r="22" spans="2:46" ht="23.25" customHeight="1">
      <c r="B22" s="1359" t="s">
        <v>512</v>
      </c>
      <c r="C22" s="1360"/>
      <c r="D22" s="1360"/>
      <c r="E22" s="1360"/>
      <c r="F22" s="1360"/>
      <c r="G22" s="1360"/>
      <c r="H22" s="1360"/>
      <c r="I22" s="1360"/>
      <c r="J22" s="1360"/>
      <c r="K22" s="691"/>
      <c r="L22" s="691"/>
      <c r="M22" s="691"/>
      <c r="N22" s="656"/>
      <c r="O22" s="1075"/>
      <c r="P22" s="656"/>
      <c r="Q22" s="656"/>
      <c r="R22" s="656"/>
      <c r="S22" s="873"/>
      <c r="T22" s="656"/>
      <c r="U22" s="656"/>
      <c r="V22" s="662"/>
      <c r="W22" s="748"/>
      <c r="X22" s="1065"/>
      <c r="Y22" s="1065"/>
      <c r="Z22" s="1065"/>
      <c r="AA22" s="1065"/>
      <c r="AB22" s="656"/>
      <c r="AC22" s="886"/>
      <c r="AD22" s="656"/>
      <c r="AE22" s="691"/>
      <c r="AF22" s="691"/>
      <c r="AG22" s="886"/>
      <c r="AH22" s="656"/>
      <c r="AI22" s="656"/>
      <c r="AJ22" s="656"/>
      <c r="AK22" s="656"/>
      <c r="AL22" s="112"/>
      <c r="AM22" s="112"/>
      <c r="AN22" s="112"/>
      <c r="AO22" s="725">
        <f>+AA22-O22</f>
        <v>0</v>
      </c>
      <c r="AP22" s="112"/>
      <c r="AQ22" s="112"/>
      <c r="AR22" s="112"/>
      <c r="AS22" s="112"/>
      <c r="AT22" s="112"/>
    </row>
    <row r="23" spans="2:71" ht="37.5" customHeight="1" thickBot="1">
      <c r="B23" s="982" t="s">
        <v>386</v>
      </c>
      <c r="C23" s="982" t="s">
        <v>200</v>
      </c>
      <c r="D23" s="982" t="s">
        <v>203</v>
      </c>
      <c r="E23" s="983" t="s">
        <v>485</v>
      </c>
      <c r="F23" s="193" t="s">
        <v>475</v>
      </c>
      <c r="G23" s="95" t="s">
        <v>472</v>
      </c>
      <c r="H23" s="193" t="s">
        <v>473</v>
      </c>
      <c r="I23" s="661">
        <v>12</v>
      </c>
      <c r="J23" s="166"/>
      <c r="K23" s="790">
        <v>4</v>
      </c>
      <c r="L23" s="790">
        <v>4</v>
      </c>
      <c r="M23" s="790">
        <v>4</v>
      </c>
      <c r="N23" s="87">
        <f aca="true" t="shared" si="4" ref="N23:N57">+M23+L23+K23</f>
        <v>12</v>
      </c>
      <c r="O23" s="1070">
        <f>+AA23</f>
        <v>0</v>
      </c>
      <c r="P23" s="825">
        <v>4</v>
      </c>
      <c r="Q23" s="866">
        <f>+P23/K23*100</f>
        <v>100</v>
      </c>
      <c r="R23" s="825">
        <v>4</v>
      </c>
      <c r="S23" s="874">
        <f>+R23/L23*100</f>
        <v>100</v>
      </c>
      <c r="T23" s="825"/>
      <c r="U23" s="865">
        <f>+T23/M23*100</f>
        <v>0</v>
      </c>
      <c r="V23" s="662">
        <f>+P23+R23+T23</f>
        <v>8</v>
      </c>
      <c r="W23" s="827"/>
      <c r="X23" s="827"/>
      <c r="Y23" s="827"/>
      <c r="Z23" s="827"/>
      <c r="AA23" s="809">
        <f aca="true" t="shared" si="5" ref="AA23:AA30">SUM(X23:Z23)</f>
        <v>0</v>
      </c>
      <c r="AB23" s="438">
        <f aca="true" t="shared" si="6" ref="AB23:AB36">+AA23-O23</f>
        <v>0</v>
      </c>
      <c r="AC23" s="946">
        <v>0</v>
      </c>
      <c r="AD23" s="926"/>
      <c r="AE23" s="797">
        <v>0</v>
      </c>
      <c r="AF23" s="1246"/>
      <c r="AG23" s="891">
        <v>0</v>
      </c>
      <c r="AH23" s="765"/>
      <c r="AI23" s="608">
        <f aca="true" t="shared" si="7" ref="AI23:AI57">+AE23+AC23</f>
        <v>0</v>
      </c>
      <c r="AJ23" s="562" t="s">
        <v>35</v>
      </c>
      <c r="AK23" s="562" t="s">
        <v>318</v>
      </c>
      <c r="AL23" s="557"/>
      <c r="AM23" s="557"/>
      <c r="AN23" s="557"/>
      <c r="AO23" s="725">
        <f>+O23-AA23</f>
        <v>0</v>
      </c>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row>
    <row r="24" spans="2:71" s="136" customFormat="1" ht="36.75" customHeight="1" thickBot="1" thickTop="1">
      <c r="B24" s="984"/>
      <c r="C24" s="984"/>
      <c r="D24" s="984"/>
      <c r="E24" s="985"/>
      <c r="F24" s="659" t="s">
        <v>471</v>
      </c>
      <c r="G24" s="660" t="s">
        <v>472</v>
      </c>
      <c r="H24" s="659" t="s">
        <v>473</v>
      </c>
      <c r="I24" s="766">
        <v>12</v>
      </c>
      <c r="J24" s="909"/>
      <c r="K24" s="909">
        <v>4</v>
      </c>
      <c r="L24" s="909">
        <v>4</v>
      </c>
      <c r="M24" s="909">
        <v>4</v>
      </c>
      <c r="N24" s="673">
        <f t="shared" si="4"/>
        <v>12</v>
      </c>
      <c r="O24" s="1071">
        <v>0</v>
      </c>
      <c r="P24" s="825">
        <v>3</v>
      </c>
      <c r="Q24" s="866">
        <f>+P24/K24*100</f>
        <v>75</v>
      </c>
      <c r="R24" s="825">
        <v>4</v>
      </c>
      <c r="S24" s="874">
        <f>+R24/L24*100</f>
        <v>100</v>
      </c>
      <c r="T24" s="825"/>
      <c r="U24" s="865">
        <f>+T24/M24*100</f>
        <v>0</v>
      </c>
      <c r="V24" s="662">
        <f>+P24+R24+T24</f>
        <v>7</v>
      </c>
      <c r="W24" s="827"/>
      <c r="X24" s="827"/>
      <c r="Y24" s="827"/>
      <c r="Z24" s="827"/>
      <c r="AA24" s="809">
        <f t="shared" si="5"/>
        <v>0</v>
      </c>
      <c r="AB24" s="438">
        <f t="shared" si="6"/>
        <v>0</v>
      </c>
      <c r="AC24" s="945">
        <v>0</v>
      </c>
      <c r="AD24" s="927">
        <v>0</v>
      </c>
      <c r="AE24" s="938">
        <v>0</v>
      </c>
      <c r="AF24" s="1247">
        <v>0</v>
      </c>
      <c r="AG24" s="945">
        <v>0</v>
      </c>
      <c r="AH24" s="768">
        <v>0</v>
      </c>
      <c r="AI24" s="608">
        <f t="shared" si="7"/>
        <v>0</v>
      </c>
      <c r="AJ24" s="767" t="s">
        <v>45</v>
      </c>
      <c r="AK24" s="767" t="s">
        <v>677</v>
      </c>
      <c r="AL24" s="557"/>
      <c r="AM24" s="557"/>
      <c r="AN24" s="557"/>
      <c r="AO24" s="725">
        <f>+O24-AA24</f>
        <v>0</v>
      </c>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row>
    <row r="25" spans="2:71" ht="40.5" customHeight="1" thickBot="1" thickTop="1">
      <c r="B25" s="986" t="s">
        <v>385</v>
      </c>
      <c r="C25" s="986" t="s">
        <v>200</v>
      </c>
      <c r="D25" s="986" t="s">
        <v>202</v>
      </c>
      <c r="E25" s="1336" t="s">
        <v>486</v>
      </c>
      <c r="F25" s="1010" t="s">
        <v>477</v>
      </c>
      <c r="G25" s="828" t="s">
        <v>494</v>
      </c>
      <c r="H25" s="829" t="s">
        <v>499</v>
      </c>
      <c r="I25" s="830">
        <v>1</v>
      </c>
      <c r="J25" s="1095">
        <v>1</v>
      </c>
      <c r="K25" s="912">
        <v>1</v>
      </c>
      <c r="L25" s="912"/>
      <c r="M25" s="912">
        <v>0</v>
      </c>
      <c r="N25" s="658">
        <f t="shared" si="4"/>
        <v>1</v>
      </c>
      <c r="O25" s="1076">
        <v>5524663.77</v>
      </c>
      <c r="P25" s="825">
        <v>1</v>
      </c>
      <c r="Q25" s="866">
        <f>+P25/K25*100</f>
        <v>100</v>
      </c>
      <c r="R25" s="825">
        <v>0</v>
      </c>
      <c r="S25" s="874">
        <v>0</v>
      </c>
      <c r="T25" s="825"/>
      <c r="U25" s="865">
        <v>0</v>
      </c>
      <c r="V25" s="662">
        <f>+P25+R25+T25</f>
        <v>1</v>
      </c>
      <c r="W25" s="832"/>
      <c r="X25" s="834"/>
      <c r="Y25" s="831">
        <v>5524663.77</v>
      </c>
      <c r="Z25" s="833"/>
      <c r="AA25" s="809">
        <f t="shared" si="5"/>
        <v>5524663.77</v>
      </c>
      <c r="AB25" s="438">
        <f t="shared" si="6"/>
        <v>0</v>
      </c>
      <c r="AC25" s="902">
        <v>0</v>
      </c>
      <c r="AD25" s="927">
        <v>0</v>
      </c>
      <c r="AE25" s="938">
        <v>0</v>
      </c>
      <c r="AF25" s="1248">
        <v>0</v>
      </c>
      <c r="AG25" s="902"/>
      <c r="AH25" s="768">
        <f>+AG25/AA25</f>
        <v>0</v>
      </c>
      <c r="AI25" s="608">
        <f t="shared" si="7"/>
        <v>0</v>
      </c>
      <c r="AJ25" s="761" t="s">
        <v>609</v>
      </c>
      <c r="AK25" s="667"/>
      <c r="AL25" s="557"/>
      <c r="AM25" s="557"/>
      <c r="AN25" s="557"/>
      <c r="AO25" s="725">
        <f>+O25-AA25</f>
        <v>0</v>
      </c>
      <c r="AP25" s="557"/>
      <c r="AQ25" s="557"/>
      <c r="AR25" s="557"/>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57"/>
      <c r="BS25" s="557"/>
    </row>
    <row r="26" spans="2:71" ht="38.25" customHeight="1" thickBot="1" thickTop="1">
      <c r="B26" s="987"/>
      <c r="C26" s="987"/>
      <c r="D26" s="987"/>
      <c r="E26" s="1337"/>
      <c r="F26" s="659" t="s">
        <v>493</v>
      </c>
      <c r="G26" s="660" t="s">
        <v>495</v>
      </c>
      <c r="H26" s="835" t="s">
        <v>501</v>
      </c>
      <c r="I26" s="836">
        <v>1</v>
      </c>
      <c r="J26" s="1096">
        <v>1</v>
      </c>
      <c r="K26" s="909">
        <v>0</v>
      </c>
      <c r="L26" s="909">
        <v>1</v>
      </c>
      <c r="M26" s="909">
        <v>0</v>
      </c>
      <c r="N26" s="87">
        <f t="shared" si="4"/>
        <v>1</v>
      </c>
      <c r="O26" s="1077">
        <v>500000</v>
      </c>
      <c r="P26" s="825">
        <v>0</v>
      </c>
      <c r="Q26" s="866">
        <v>0</v>
      </c>
      <c r="R26" s="825">
        <v>1</v>
      </c>
      <c r="S26" s="874">
        <v>0</v>
      </c>
      <c r="T26" s="825"/>
      <c r="U26" s="865">
        <v>0</v>
      </c>
      <c r="V26" s="662">
        <f>+P26+R26+T26</f>
        <v>1</v>
      </c>
      <c r="W26" s="827"/>
      <c r="X26" s="813"/>
      <c r="Y26" s="811">
        <v>500000</v>
      </c>
      <c r="Z26" s="813"/>
      <c r="AA26" s="809">
        <f t="shared" si="5"/>
        <v>500000</v>
      </c>
      <c r="AB26" s="438">
        <f t="shared" si="6"/>
        <v>0</v>
      </c>
      <c r="AC26" s="946">
        <v>0</v>
      </c>
      <c r="AD26" s="927">
        <v>1</v>
      </c>
      <c r="AE26" s="938">
        <v>62879.05</v>
      </c>
      <c r="AF26" s="1247">
        <f>+AE26/Y26</f>
        <v>0.1257581</v>
      </c>
      <c r="AG26" s="946">
        <v>0</v>
      </c>
      <c r="AH26" s="768">
        <f>+AG26/AA26</f>
        <v>0</v>
      </c>
      <c r="AI26" s="608">
        <f t="shared" si="7"/>
        <v>62879.05</v>
      </c>
      <c r="AJ26" s="761" t="s">
        <v>609</v>
      </c>
      <c r="AK26" s="628"/>
      <c r="AL26" s="557"/>
      <c r="AM26" s="557"/>
      <c r="AN26" s="557"/>
      <c r="AO26" s="725">
        <f aca="true" t="shared" si="8" ref="AO26:AO36">+AA26-O26</f>
        <v>0</v>
      </c>
      <c r="AP26" s="557">
        <v>1112030.11</v>
      </c>
      <c r="AQ26" s="557"/>
      <c r="AR26" s="557"/>
      <c r="AS26" s="557"/>
      <c r="AT26" s="557"/>
      <c r="AU26" s="557"/>
      <c r="AV26" s="557"/>
      <c r="AW26" s="557"/>
      <c r="AX26" s="557"/>
      <c r="AY26" s="557"/>
      <c r="AZ26" s="557"/>
      <c r="BA26" s="557"/>
      <c r="BB26" s="557"/>
      <c r="BC26" s="557"/>
      <c r="BD26" s="557"/>
      <c r="BE26" s="557"/>
      <c r="BF26" s="557"/>
      <c r="BG26" s="557"/>
      <c r="BH26" s="557"/>
      <c r="BI26" s="557"/>
      <c r="BJ26" s="557"/>
      <c r="BK26" s="557"/>
      <c r="BL26" s="557"/>
      <c r="BM26" s="557"/>
      <c r="BN26" s="557"/>
      <c r="BO26" s="557"/>
      <c r="BP26" s="557"/>
      <c r="BQ26" s="557"/>
      <c r="BR26" s="557"/>
      <c r="BS26" s="557"/>
    </row>
    <row r="27" spans="2:71" ht="75" customHeight="1" thickBot="1" thickTop="1">
      <c r="B27" s="987"/>
      <c r="C27" s="987"/>
      <c r="D27" s="987"/>
      <c r="E27" s="1338" t="s">
        <v>541</v>
      </c>
      <c r="F27" s="988" t="s">
        <v>478</v>
      </c>
      <c r="G27" s="989" t="s">
        <v>488</v>
      </c>
      <c r="H27" s="802" t="s">
        <v>496</v>
      </c>
      <c r="I27" s="769">
        <v>5</v>
      </c>
      <c r="J27" s="1097">
        <v>2</v>
      </c>
      <c r="K27" s="956">
        <v>2</v>
      </c>
      <c r="L27" s="956">
        <v>0</v>
      </c>
      <c r="M27" s="956">
        <v>0</v>
      </c>
      <c r="N27" s="87">
        <f t="shared" si="4"/>
        <v>2</v>
      </c>
      <c r="O27" s="942">
        <v>40800</v>
      </c>
      <c r="P27" s="825">
        <v>1</v>
      </c>
      <c r="Q27" s="866">
        <v>0</v>
      </c>
      <c r="R27" s="1052">
        <v>0</v>
      </c>
      <c r="S27" s="874">
        <v>0</v>
      </c>
      <c r="T27" s="825"/>
      <c r="U27" s="865">
        <v>0</v>
      </c>
      <c r="V27" s="662">
        <f aca="true" t="shared" si="9" ref="V27:V57">+P27+R27+T27</f>
        <v>1</v>
      </c>
      <c r="W27" s="667"/>
      <c r="X27" s="814">
        <v>7200</v>
      </c>
      <c r="Y27" s="826">
        <v>33600</v>
      </c>
      <c r="Z27" s="814"/>
      <c r="AA27" s="809">
        <f t="shared" si="5"/>
        <v>40800</v>
      </c>
      <c r="AB27" s="438">
        <f t="shared" si="6"/>
        <v>0</v>
      </c>
      <c r="AC27" s="902">
        <v>7200</v>
      </c>
      <c r="AD27" s="927">
        <v>1</v>
      </c>
      <c r="AE27" s="937">
        <v>0</v>
      </c>
      <c r="AF27" s="1247">
        <f>+AE27/X27</f>
        <v>0</v>
      </c>
      <c r="AG27" s="892">
        <v>0</v>
      </c>
      <c r="AH27" s="768">
        <f>+AG27/AA27</f>
        <v>0</v>
      </c>
      <c r="AI27" s="608">
        <f t="shared" si="7"/>
        <v>7200</v>
      </c>
      <c r="AJ27" s="761" t="s">
        <v>609</v>
      </c>
      <c r="AL27" s="557"/>
      <c r="AM27" s="557"/>
      <c r="AN27" s="557"/>
      <c r="AO27" s="725">
        <f t="shared" si="8"/>
        <v>0</v>
      </c>
      <c r="AP27" s="557">
        <v>1175021.16</v>
      </c>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7"/>
      <c r="BQ27" s="557"/>
      <c r="BR27" s="557"/>
      <c r="BS27" s="557"/>
    </row>
    <row r="28" spans="2:71" ht="31.5" customHeight="1" thickBot="1" thickTop="1">
      <c r="B28" s="990"/>
      <c r="C28" s="990"/>
      <c r="D28" s="990"/>
      <c r="E28" s="1334"/>
      <c r="F28" s="991"/>
      <c r="G28" s="992"/>
      <c r="H28" s="1010" t="s">
        <v>540</v>
      </c>
      <c r="I28" s="763">
        <v>3</v>
      </c>
      <c r="J28" s="1098">
        <v>8</v>
      </c>
      <c r="K28" s="912">
        <v>6</v>
      </c>
      <c r="L28" s="912">
        <v>2</v>
      </c>
      <c r="M28" s="912">
        <v>0</v>
      </c>
      <c r="N28" s="87">
        <f t="shared" si="4"/>
        <v>8</v>
      </c>
      <c r="O28" s="940">
        <v>25080</v>
      </c>
      <c r="P28" s="825">
        <v>6</v>
      </c>
      <c r="Q28" s="866">
        <v>0</v>
      </c>
      <c r="R28" s="825">
        <v>0</v>
      </c>
      <c r="S28" s="874">
        <v>0</v>
      </c>
      <c r="T28" s="825"/>
      <c r="U28" s="865">
        <v>0</v>
      </c>
      <c r="V28" s="662">
        <f t="shared" si="9"/>
        <v>6</v>
      </c>
      <c r="W28" s="764"/>
      <c r="X28" s="812">
        <v>11000</v>
      </c>
      <c r="Y28" s="848">
        <v>14080</v>
      </c>
      <c r="Z28" s="812"/>
      <c r="AA28" s="809">
        <f t="shared" si="5"/>
        <v>25080</v>
      </c>
      <c r="AB28" s="438">
        <f t="shared" si="6"/>
        <v>0</v>
      </c>
      <c r="AC28" s="1093">
        <v>11000</v>
      </c>
      <c r="AD28" s="789">
        <v>0</v>
      </c>
      <c r="AE28" s="1153">
        <v>0</v>
      </c>
      <c r="AF28" s="1249">
        <v>0</v>
      </c>
      <c r="AG28" s="894">
        <v>0</v>
      </c>
      <c r="AH28" s="768">
        <f>+AG28/AA28</f>
        <v>0</v>
      </c>
      <c r="AI28" s="608">
        <f t="shared" si="7"/>
        <v>11000</v>
      </c>
      <c r="AJ28" s="761" t="s">
        <v>609</v>
      </c>
      <c r="AK28" s="562" t="s">
        <v>567</v>
      </c>
      <c r="AL28" s="557"/>
      <c r="AM28" s="557"/>
      <c r="AN28" s="557"/>
      <c r="AO28" s="725">
        <f t="shared" si="8"/>
        <v>0</v>
      </c>
      <c r="AP28" s="557">
        <v>17000</v>
      </c>
      <c r="AQ28" s="557"/>
      <c r="AR28" s="557"/>
      <c r="AS28" s="557"/>
      <c r="AT28" s="557"/>
      <c r="AU28" s="557"/>
      <c r="AV28" s="557"/>
      <c r="AW28" s="557"/>
      <c r="AX28" s="557"/>
      <c r="AY28" s="557"/>
      <c r="AZ28" s="557"/>
      <c r="BA28" s="557"/>
      <c r="BB28" s="557"/>
      <c r="BC28" s="557"/>
      <c r="BD28" s="557"/>
      <c r="BE28" s="557"/>
      <c r="BF28" s="557"/>
      <c r="BG28" s="557"/>
      <c r="BH28" s="557"/>
      <c r="BI28" s="557"/>
      <c r="BJ28" s="557"/>
      <c r="BK28" s="557"/>
      <c r="BL28" s="557"/>
      <c r="BM28" s="557"/>
      <c r="BN28" s="557"/>
      <c r="BO28" s="557"/>
      <c r="BP28" s="557"/>
      <c r="BQ28" s="557"/>
      <c r="BR28" s="557"/>
      <c r="BS28" s="557"/>
    </row>
    <row r="29" spans="1:71" ht="68.25" customHeight="1" thickBot="1" thickTop="1">
      <c r="A29" s="856"/>
      <c r="B29" s="298"/>
      <c r="C29" s="298"/>
      <c r="D29" s="298"/>
      <c r="E29" s="1332" t="s">
        <v>549</v>
      </c>
      <c r="F29" s="1011" t="s">
        <v>497</v>
      </c>
      <c r="G29" s="1011" t="s">
        <v>112</v>
      </c>
      <c r="H29" s="1011" t="s">
        <v>113</v>
      </c>
      <c r="I29" s="770">
        <v>117218</v>
      </c>
      <c r="J29" s="953">
        <v>127500</v>
      </c>
      <c r="K29" s="790">
        <v>42500</v>
      </c>
      <c r="L29" s="790">
        <v>42500</v>
      </c>
      <c r="M29" s="790">
        <v>42500</v>
      </c>
      <c r="N29" s="87">
        <f t="shared" si="4"/>
        <v>127500</v>
      </c>
      <c r="O29" s="1047">
        <v>5364144</v>
      </c>
      <c r="P29" s="825">
        <v>42721</v>
      </c>
      <c r="Q29" s="866">
        <f>+P29/K29*100</f>
        <v>100.52000000000001</v>
      </c>
      <c r="R29" s="825">
        <v>41903</v>
      </c>
      <c r="S29" s="874">
        <f aca="true" t="shared" si="10" ref="S29:S46">+R29/L29*100</f>
        <v>98.59529411764706</v>
      </c>
      <c r="T29" s="825"/>
      <c r="U29" s="865">
        <f aca="true" t="shared" si="11" ref="U29:U44">+T29/M29*100</f>
        <v>0</v>
      </c>
      <c r="V29" s="662">
        <f t="shared" si="9"/>
        <v>84624</v>
      </c>
      <c r="W29" s="628"/>
      <c r="X29" s="1092">
        <f>+$O$29/3+150000</f>
        <v>1938048</v>
      </c>
      <c r="Y29" s="1092">
        <f>+$O$29/3-75000</f>
        <v>1713048</v>
      </c>
      <c r="Z29" s="1092">
        <f>+$O$29/3-75000</f>
        <v>1713048</v>
      </c>
      <c r="AA29" s="809">
        <f t="shared" si="5"/>
        <v>5364144</v>
      </c>
      <c r="AB29" s="438">
        <f t="shared" si="6"/>
        <v>0</v>
      </c>
      <c r="AC29" s="1092">
        <f>1926699.35</f>
        <v>1926699.35</v>
      </c>
      <c r="AD29" s="1126">
        <f aca="true" t="shared" si="12" ref="AD29:AD36">+AC29/X29</f>
        <v>0.9941442884799552</v>
      </c>
      <c r="AE29" s="1259">
        <v>1633181.93</v>
      </c>
      <c r="AF29" s="1247">
        <f>+AE29/Y29</f>
        <v>0.953377797936777</v>
      </c>
      <c r="AG29" s="893">
        <v>1338417.46</v>
      </c>
      <c r="AH29" s="768" t="e">
        <f>+AG29/#REF!</f>
        <v>#REF!</v>
      </c>
      <c r="AI29" s="608">
        <f t="shared" si="7"/>
        <v>3559881.2800000003</v>
      </c>
      <c r="AJ29" s="1131" t="s">
        <v>610</v>
      </c>
      <c r="AK29" s="570"/>
      <c r="AL29" s="557"/>
      <c r="AM29" s="557"/>
      <c r="AN29" s="557"/>
      <c r="AO29" s="725">
        <f t="shared" si="8"/>
        <v>0</v>
      </c>
      <c r="AP29" s="557"/>
      <c r="AQ29" s="557"/>
      <c r="AR29" s="557"/>
      <c r="AS29" s="557"/>
      <c r="AT29" s="557"/>
      <c r="AU29" s="557"/>
      <c r="AV29" s="557"/>
      <c r="AW29" s="557"/>
      <c r="AX29" s="557"/>
      <c r="AY29" s="557"/>
      <c r="AZ29" s="557"/>
      <c r="BA29" s="557"/>
      <c r="BB29" s="557"/>
      <c r="BC29" s="557"/>
      <c r="BD29" s="557"/>
      <c r="BE29" s="557"/>
      <c r="BF29" s="557"/>
      <c r="BG29" s="557"/>
      <c r="BH29" s="557"/>
      <c r="BI29" s="557"/>
      <c r="BJ29" s="557"/>
      <c r="BK29" s="557"/>
      <c r="BL29" s="557"/>
      <c r="BM29" s="557"/>
      <c r="BN29" s="557"/>
      <c r="BO29" s="557"/>
      <c r="BP29" s="557"/>
      <c r="BQ29" s="557"/>
      <c r="BR29" s="557"/>
      <c r="BS29" s="557"/>
    </row>
    <row r="30" spans="1:71" ht="23.25" customHeight="1" thickBot="1" thickTop="1">
      <c r="A30" s="6"/>
      <c r="B30" s="298"/>
      <c r="C30" s="298"/>
      <c r="D30" s="298"/>
      <c r="E30" s="1333"/>
      <c r="F30" s="1011" t="s">
        <v>105</v>
      </c>
      <c r="G30" s="1011" t="s">
        <v>107</v>
      </c>
      <c r="H30" s="1011" t="s">
        <v>108</v>
      </c>
      <c r="I30" s="770">
        <v>144000</v>
      </c>
      <c r="J30" s="953">
        <v>141000</v>
      </c>
      <c r="K30" s="790">
        <v>46000</v>
      </c>
      <c r="L30" s="790">
        <v>47500</v>
      </c>
      <c r="M30" s="790">
        <v>47500</v>
      </c>
      <c r="N30" s="87">
        <f t="shared" si="4"/>
        <v>141000</v>
      </c>
      <c r="O30" s="1078">
        <v>6219812</v>
      </c>
      <c r="P30" s="825">
        <v>45704</v>
      </c>
      <c r="Q30" s="1018">
        <f>+P30/K30*100</f>
        <v>99.35652173913043</v>
      </c>
      <c r="R30" s="825">
        <v>45250</v>
      </c>
      <c r="S30" s="874">
        <f t="shared" si="10"/>
        <v>95.26315789473684</v>
      </c>
      <c r="T30" s="825"/>
      <c r="U30" s="865">
        <f t="shared" si="11"/>
        <v>0</v>
      </c>
      <c r="V30" s="662">
        <f t="shared" si="9"/>
        <v>90954</v>
      </c>
      <c r="W30" s="628"/>
      <c r="X30" s="1092">
        <f>2073270+150000</f>
        <v>2223270</v>
      </c>
      <c r="Y30" s="1092">
        <f>2073270</f>
        <v>2073270</v>
      </c>
      <c r="Z30" s="1092">
        <f>2073270-150000+2</f>
        <v>1923272</v>
      </c>
      <c r="AA30" s="809">
        <f t="shared" si="5"/>
        <v>6219812</v>
      </c>
      <c r="AB30" s="438">
        <f t="shared" si="6"/>
        <v>0</v>
      </c>
      <c r="AC30" s="1092">
        <v>2234032</v>
      </c>
      <c r="AD30" s="1126">
        <f t="shared" si="12"/>
        <v>1.0048406176487785</v>
      </c>
      <c r="AE30" s="942">
        <v>1893700.42</v>
      </c>
      <c r="AF30" s="1247">
        <f>+AE30/Y30</f>
        <v>0.9133882321164151</v>
      </c>
      <c r="AG30" s="891">
        <v>1530180.66</v>
      </c>
      <c r="AH30" s="768" t="e">
        <f>+AG30/#REF!</f>
        <v>#REF!</v>
      </c>
      <c r="AI30" s="608">
        <f t="shared" si="7"/>
        <v>4127732.42</v>
      </c>
      <c r="AJ30" s="1131" t="s">
        <v>610</v>
      </c>
      <c r="AK30" s="562"/>
      <c r="AL30" s="557"/>
      <c r="AM30" s="557"/>
      <c r="AN30" s="557"/>
      <c r="AO30" s="725">
        <f t="shared" si="8"/>
        <v>0</v>
      </c>
      <c r="AP30" s="557"/>
      <c r="AQ30" s="557"/>
      <c r="AR30" s="557"/>
      <c r="AS30" s="557"/>
      <c r="AT30" s="557"/>
      <c r="AU30" s="557"/>
      <c r="AV30" s="557"/>
      <c r="AW30" s="557"/>
      <c r="AX30" s="557"/>
      <c r="AY30" s="557"/>
      <c r="AZ30" s="557"/>
      <c r="BA30" s="557"/>
      <c r="BB30" s="557"/>
      <c r="BC30" s="557"/>
      <c r="BD30" s="557"/>
      <c r="BE30" s="557"/>
      <c r="BF30" s="557"/>
      <c r="BG30" s="557"/>
      <c r="BH30" s="557"/>
      <c r="BI30" s="557"/>
      <c r="BJ30" s="557"/>
      <c r="BK30" s="557"/>
      <c r="BL30" s="557"/>
      <c r="BM30" s="557"/>
      <c r="BN30" s="557"/>
      <c r="BO30" s="557"/>
      <c r="BP30" s="557"/>
      <c r="BQ30" s="557"/>
      <c r="BR30" s="557"/>
      <c r="BS30" s="557"/>
    </row>
    <row r="31" spans="1:71" ht="23.25" customHeight="1" thickBot="1" thickTop="1">
      <c r="A31" s="6"/>
      <c r="B31" s="298"/>
      <c r="C31" s="298"/>
      <c r="D31" s="298"/>
      <c r="E31" s="1333"/>
      <c r="F31" s="1011" t="s">
        <v>491</v>
      </c>
      <c r="G31" s="1011" t="s">
        <v>492</v>
      </c>
      <c r="H31" s="1011" t="s">
        <v>108</v>
      </c>
      <c r="I31" s="661">
        <v>9600</v>
      </c>
      <c r="J31" s="1099">
        <v>10450</v>
      </c>
      <c r="K31" s="1017">
        <v>1650</v>
      </c>
      <c r="L31" s="1017">
        <v>3500</v>
      </c>
      <c r="M31" s="1017">
        <v>5300</v>
      </c>
      <c r="N31" s="87">
        <f t="shared" si="4"/>
        <v>10450</v>
      </c>
      <c r="O31" s="1078">
        <v>230321</v>
      </c>
      <c r="P31" s="825">
        <v>1608</v>
      </c>
      <c r="Q31" s="1018">
        <f>+P31/K31*100</f>
        <v>97.45454545454545</v>
      </c>
      <c r="R31" s="825">
        <v>3422</v>
      </c>
      <c r="S31" s="874">
        <f t="shared" si="10"/>
        <v>97.77142857142857</v>
      </c>
      <c r="T31" s="825"/>
      <c r="U31" s="865">
        <f t="shared" si="11"/>
        <v>0</v>
      </c>
      <c r="V31" s="662">
        <f t="shared" si="9"/>
        <v>5030</v>
      </c>
      <c r="W31" s="628"/>
      <c r="X31" s="1092">
        <v>83000</v>
      </c>
      <c r="Y31" s="1092">
        <v>83000</v>
      </c>
      <c r="Z31" s="1092">
        <v>64321</v>
      </c>
      <c r="AA31" s="809">
        <f aca="true" t="shared" si="13" ref="AA31:AA57">SUM(X31:Z31)</f>
        <v>230321</v>
      </c>
      <c r="AB31" s="438">
        <f t="shared" si="6"/>
        <v>0</v>
      </c>
      <c r="AC31" s="1092">
        <v>82276</v>
      </c>
      <c r="AD31" s="1126">
        <f t="shared" si="12"/>
        <v>0.991277108433735</v>
      </c>
      <c r="AE31" s="942">
        <v>70124.31</v>
      </c>
      <c r="AF31" s="1247">
        <f>+AE31/Y31</f>
        <v>0.8448712048192771</v>
      </c>
      <c r="AG31" s="891">
        <v>58467.41</v>
      </c>
      <c r="AH31" s="768" t="e">
        <f>+AG31/#REF!</f>
        <v>#REF!</v>
      </c>
      <c r="AI31" s="608">
        <f t="shared" si="7"/>
        <v>152400.31</v>
      </c>
      <c r="AJ31" s="1131" t="s">
        <v>610</v>
      </c>
      <c r="AK31" s="562" t="s">
        <v>675</v>
      </c>
      <c r="AL31" s="557"/>
      <c r="AM31" s="557"/>
      <c r="AN31" s="557"/>
      <c r="AO31" s="725">
        <f t="shared" si="8"/>
        <v>0</v>
      </c>
      <c r="AP31" s="557"/>
      <c r="AQ31" s="557"/>
      <c r="AR31" s="557"/>
      <c r="AS31" s="557"/>
      <c r="AT31" s="557"/>
      <c r="AU31" s="557"/>
      <c r="AV31" s="557"/>
      <c r="AW31" s="557"/>
      <c r="AX31" s="557"/>
      <c r="AY31" s="557"/>
      <c r="AZ31" s="557"/>
      <c r="BA31" s="557"/>
      <c r="BB31" s="557"/>
      <c r="BC31" s="557"/>
      <c r="BD31" s="557"/>
      <c r="BE31" s="557"/>
      <c r="BF31" s="557"/>
      <c r="BG31" s="557"/>
      <c r="BH31" s="557"/>
      <c r="BI31" s="557"/>
      <c r="BJ31" s="557"/>
      <c r="BK31" s="557"/>
      <c r="BL31" s="557"/>
      <c r="BM31" s="557"/>
      <c r="BN31" s="557"/>
      <c r="BO31" s="557"/>
      <c r="BP31" s="557"/>
      <c r="BQ31" s="557"/>
      <c r="BR31" s="557"/>
      <c r="BS31" s="557"/>
    </row>
    <row r="32" spans="1:71" ht="43.5" customHeight="1" thickBot="1" thickTop="1">
      <c r="A32" s="6"/>
      <c r="B32" s="298" t="s">
        <v>386</v>
      </c>
      <c r="C32" s="298" t="s">
        <v>200</v>
      </c>
      <c r="D32" s="298" t="s">
        <v>198</v>
      </c>
      <c r="E32" s="1333"/>
      <c r="F32" s="1011" t="s">
        <v>487</v>
      </c>
      <c r="G32" s="95" t="s">
        <v>489</v>
      </c>
      <c r="H32" s="193" t="s">
        <v>490</v>
      </c>
      <c r="I32" s="770">
        <v>9660</v>
      </c>
      <c r="J32" s="1100">
        <v>9900</v>
      </c>
      <c r="K32" s="790">
        <v>3300</v>
      </c>
      <c r="L32" s="790">
        <v>3400</v>
      </c>
      <c r="M32" s="790">
        <v>3200</v>
      </c>
      <c r="N32" s="87">
        <f t="shared" si="4"/>
        <v>9900</v>
      </c>
      <c r="O32" s="1047">
        <v>3235860</v>
      </c>
      <c r="P32" s="825">
        <v>3313</v>
      </c>
      <c r="Q32" s="1018">
        <f>+P32/K32*100</f>
        <v>100.39393939393939</v>
      </c>
      <c r="R32" s="825">
        <v>3623</v>
      </c>
      <c r="S32" s="954">
        <f t="shared" si="10"/>
        <v>106.55882352941177</v>
      </c>
      <c r="T32" s="825"/>
      <c r="U32" s="865">
        <f t="shared" si="11"/>
        <v>0</v>
      </c>
      <c r="V32" s="662">
        <f t="shared" si="9"/>
        <v>6936</v>
      </c>
      <c r="W32" s="628"/>
      <c r="X32" s="1092">
        <v>1165000</v>
      </c>
      <c r="Y32" s="1092">
        <v>1165000</v>
      </c>
      <c r="Z32" s="1092">
        <v>905860</v>
      </c>
      <c r="AA32" s="809">
        <f t="shared" si="13"/>
        <v>3235860</v>
      </c>
      <c r="AB32" s="438">
        <f t="shared" si="6"/>
        <v>0</v>
      </c>
      <c r="AC32" s="1092">
        <f>1162256+10480</f>
        <v>1172736</v>
      </c>
      <c r="AD32" s="1126">
        <f t="shared" si="12"/>
        <v>1.0066403433476394</v>
      </c>
      <c r="AE32" s="942">
        <v>985198.48</v>
      </c>
      <c r="AF32" s="1247">
        <f>+AE32/Y32</f>
        <v>0.8456639313304721</v>
      </c>
      <c r="AG32" s="891">
        <v>791061.07</v>
      </c>
      <c r="AH32" s="768" t="e">
        <f>+AG32/#REF!</f>
        <v>#REF!</v>
      </c>
      <c r="AI32" s="608">
        <f t="shared" si="7"/>
        <v>2157934.48</v>
      </c>
      <c r="AJ32" s="1131" t="s">
        <v>610</v>
      </c>
      <c r="AK32" s="562"/>
      <c r="AL32" s="557"/>
      <c r="AM32" s="557"/>
      <c r="AN32" s="557"/>
      <c r="AO32" s="725">
        <f t="shared" si="8"/>
        <v>0</v>
      </c>
      <c r="AP32" s="557"/>
      <c r="AQ32" s="557"/>
      <c r="AR32" s="557"/>
      <c r="AS32" s="557"/>
      <c r="AT32" s="557"/>
      <c r="AU32" s="557"/>
      <c r="AV32" s="557"/>
      <c r="AW32" s="557"/>
      <c r="AX32" s="557"/>
      <c r="AY32" s="557"/>
      <c r="AZ32" s="557"/>
      <c r="BA32" s="557"/>
      <c r="BB32" s="557"/>
      <c r="BC32" s="557"/>
      <c r="BD32" s="557"/>
      <c r="BE32" s="557"/>
      <c r="BF32" s="557"/>
      <c r="BG32" s="557"/>
      <c r="BH32" s="557"/>
      <c r="BI32" s="557"/>
      <c r="BJ32" s="557"/>
      <c r="BK32" s="557"/>
      <c r="BL32" s="557"/>
      <c r="BM32" s="557"/>
      <c r="BN32" s="557"/>
      <c r="BO32" s="557"/>
      <c r="BP32" s="557"/>
      <c r="BQ32" s="557"/>
      <c r="BR32" s="557"/>
      <c r="BS32" s="557"/>
    </row>
    <row r="33" spans="1:71" ht="45" customHeight="1" thickBot="1" thickTop="1">
      <c r="A33" s="6"/>
      <c r="B33" s="298"/>
      <c r="C33" s="298"/>
      <c r="D33" s="298"/>
      <c r="E33" s="1332" t="s">
        <v>549</v>
      </c>
      <c r="F33" s="1306" t="s">
        <v>510</v>
      </c>
      <c r="G33" s="21" t="s">
        <v>502</v>
      </c>
      <c r="H33" s="918" t="s">
        <v>506</v>
      </c>
      <c r="I33" s="570">
        <v>3277</v>
      </c>
      <c r="J33" s="1101">
        <v>3360</v>
      </c>
      <c r="K33" s="790">
        <v>1100</v>
      </c>
      <c r="L33" s="790">
        <v>1140</v>
      </c>
      <c r="M33" s="790">
        <v>1120</v>
      </c>
      <c r="N33" s="87">
        <f t="shared" si="4"/>
        <v>3360</v>
      </c>
      <c r="O33" s="1047">
        <v>1779596</v>
      </c>
      <c r="P33" s="825">
        <v>1120</v>
      </c>
      <c r="Q33" s="1046">
        <f>+P33/K33</f>
        <v>1.018181818181818</v>
      </c>
      <c r="R33" s="825">
        <v>1172</v>
      </c>
      <c r="S33" s="874">
        <f t="shared" si="10"/>
        <v>102.80701754385966</v>
      </c>
      <c r="T33" s="825"/>
      <c r="U33" s="865">
        <f t="shared" si="11"/>
        <v>0</v>
      </c>
      <c r="V33" s="662">
        <f t="shared" si="9"/>
        <v>2292</v>
      </c>
      <c r="W33" s="628"/>
      <c r="X33" s="1092">
        <v>645000</v>
      </c>
      <c r="Y33" s="1092">
        <v>600000</v>
      </c>
      <c r="Z33" s="1092">
        <v>534596</v>
      </c>
      <c r="AA33" s="809">
        <f t="shared" si="13"/>
        <v>1779596</v>
      </c>
      <c r="AB33" s="438">
        <f t="shared" si="6"/>
        <v>0</v>
      </c>
      <c r="AC33" s="1092">
        <v>639196</v>
      </c>
      <c r="AD33" s="1126">
        <f t="shared" si="12"/>
        <v>0.9910015503875969</v>
      </c>
      <c r="AE33" s="1260">
        <v>541820.69</v>
      </c>
      <c r="AF33" s="1247">
        <f>+AE33/Y33</f>
        <v>0.9030344833333332</v>
      </c>
      <c r="AG33" s="893">
        <v>446176.1</v>
      </c>
      <c r="AH33" s="768" t="e">
        <f>+AG33/#REF!</f>
        <v>#REF!</v>
      </c>
      <c r="AI33" s="608">
        <f t="shared" si="7"/>
        <v>1181016.69</v>
      </c>
      <c r="AJ33" s="1131" t="s">
        <v>610</v>
      </c>
      <c r="AK33" s="570"/>
      <c r="AL33" s="557"/>
      <c r="AM33" s="557"/>
      <c r="AN33" s="557"/>
      <c r="AO33" s="725">
        <f t="shared" si="8"/>
        <v>0</v>
      </c>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7"/>
      <c r="BS33" s="557"/>
    </row>
    <row r="34" spans="1:71" ht="28.5" customHeight="1" thickBot="1" thickTop="1">
      <c r="A34" s="6"/>
      <c r="B34" s="298"/>
      <c r="C34" s="298"/>
      <c r="D34" s="298"/>
      <c r="E34" s="1333"/>
      <c r="F34" s="1307"/>
      <c r="G34" s="1009" t="s">
        <v>503</v>
      </c>
      <c r="H34" s="995"/>
      <c r="I34" s="776">
        <v>1766</v>
      </c>
      <c r="J34" s="867">
        <v>1500</v>
      </c>
      <c r="K34" s="955">
        <v>460</v>
      </c>
      <c r="L34" s="955">
        <v>530</v>
      </c>
      <c r="M34" s="955">
        <v>510</v>
      </c>
      <c r="N34" s="1156">
        <f t="shared" si="4"/>
        <v>1500</v>
      </c>
      <c r="O34" s="1157">
        <v>1632415</v>
      </c>
      <c r="P34" s="1160">
        <v>525</v>
      </c>
      <c r="Q34" s="1158">
        <f>+P34/K34</f>
        <v>1.141304347826087</v>
      </c>
      <c r="R34" s="1160">
        <v>536</v>
      </c>
      <c r="S34" s="1159">
        <f t="shared" si="10"/>
        <v>101.13207547169812</v>
      </c>
      <c r="T34" s="1160"/>
      <c r="U34" s="1161">
        <f t="shared" si="11"/>
        <v>0</v>
      </c>
      <c r="V34" s="1162">
        <f t="shared" si="9"/>
        <v>1061</v>
      </c>
      <c r="W34" s="764"/>
      <c r="X34" s="1163">
        <v>592000</v>
      </c>
      <c r="Y34" s="1163">
        <v>575000</v>
      </c>
      <c r="Z34" s="1163">
        <v>465415</v>
      </c>
      <c r="AA34" s="804">
        <f t="shared" si="13"/>
        <v>1632415</v>
      </c>
      <c r="AB34" s="1164">
        <f t="shared" si="6"/>
        <v>0</v>
      </c>
      <c r="AC34" s="1163">
        <v>586331</v>
      </c>
      <c r="AD34" s="1165">
        <f t="shared" si="12"/>
        <v>0.9904239864864864</v>
      </c>
      <c r="AE34" s="1261">
        <v>497009.5</v>
      </c>
      <c r="AF34" s="1250" t="e">
        <f>+AE34/#REF!</f>
        <v>#REF!</v>
      </c>
      <c r="AG34" s="1166">
        <v>397213.77</v>
      </c>
      <c r="AH34" s="777" t="e">
        <f>+AG34/#REF!</f>
        <v>#REF!</v>
      </c>
      <c r="AI34" s="608">
        <f t="shared" si="7"/>
        <v>1083340.5</v>
      </c>
      <c r="AJ34" s="1167" t="s">
        <v>610</v>
      </c>
      <c r="AK34" s="1168"/>
      <c r="AL34" s="557"/>
      <c r="AM34" s="557"/>
      <c r="AN34" s="557"/>
      <c r="AO34" s="725">
        <f t="shared" si="8"/>
        <v>0</v>
      </c>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row>
    <row r="35" spans="1:71" ht="28.5" customHeight="1" thickBot="1">
      <c r="A35" s="6"/>
      <c r="B35" s="298"/>
      <c r="C35" s="298"/>
      <c r="D35" s="298"/>
      <c r="E35" s="1333"/>
      <c r="F35" s="1308"/>
      <c r="G35" s="1180" t="s">
        <v>504</v>
      </c>
      <c r="H35" s="1181"/>
      <c r="I35" s="1182">
        <v>3234</v>
      </c>
      <c r="J35" s="1270">
        <v>3210</v>
      </c>
      <c r="K35" s="1183">
        <v>1070</v>
      </c>
      <c r="L35" s="1183">
        <v>1070</v>
      </c>
      <c r="M35" s="1183">
        <v>1070</v>
      </c>
      <c r="N35" s="1184">
        <f t="shared" si="4"/>
        <v>3210</v>
      </c>
      <c r="O35" s="1185">
        <v>1749752</v>
      </c>
      <c r="P35" s="1188">
        <v>974</v>
      </c>
      <c r="Q35" s="1186">
        <f aca="true" t="shared" si="14" ref="Q35:Q57">+P35/K35*100</f>
        <v>91.02803738317758</v>
      </c>
      <c r="R35" s="1188">
        <v>958</v>
      </c>
      <c r="S35" s="1187">
        <f t="shared" si="10"/>
        <v>89.53271028037383</v>
      </c>
      <c r="T35" s="1188"/>
      <c r="U35" s="1189">
        <f t="shared" si="11"/>
        <v>0</v>
      </c>
      <c r="V35" s="1190">
        <f t="shared" si="9"/>
        <v>1932</v>
      </c>
      <c r="W35" s="1191"/>
      <c r="X35" s="1192">
        <v>630000</v>
      </c>
      <c r="Y35" s="1192">
        <v>600000</v>
      </c>
      <c r="Z35" s="1192">
        <v>519752</v>
      </c>
      <c r="AA35" s="1193">
        <f t="shared" si="13"/>
        <v>1749752</v>
      </c>
      <c r="AB35" s="1194">
        <f t="shared" si="6"/>
        <v>0</v>
      </c>
      <c r="AC35" s="1192">
        <v>628476</v>
      </c>
      <c r="AD35" s="1195">
        <f t="shared" si="12"/>
        <v>0.9975809523809523</v>
      </c>
      <c r="AE35" s="1262">
        <v>532734.12</v>
      </c>
      <c r="AF35" s="1251" t="e">
        <f>+AE35/#REF!</f>
        <v>#REF!</v>
      </c>
      <c r="AG35" s="1197">
        <v>432277.66</v>
      </c>
      <c r="AH35" s="1196" t="e">
        <f>+AG35/#REF!</f>
        <v>#REF!</v>
      </c>
      <c r="AI35" s="608">
        <f t="shared" si="7"/>
        <v>1161210.12</v>
      </c>
      <c r="AJ35" s="1198" t="s">
        <v>610</v>
      </c>
      <c r="AK35" s="1199"/>
      <c r="AL35" s="557"/>
      <c r="AM35" s="557"/>
      <c r="AN35" s="557"/>
      <c r="AO35" s="725">
        <f t="shared" si="8"/>
        <v>0</v>
      </c>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row>
    <row r="36" spans="1:71" ht="28.5" customHeight="1" thickBot="1" thickTop="1">
      <c r="A36" s="6"/>
      <c r="B36" s="298"/>
      <c r="C36" s="298"/>
      <c r="D36" s="298"/>
      <c r="E36" s="1333"/>
      <c r="F36" s="1307"/>
      <c r="G36" s="1339" t="s">
        <v>505</v>
      </c>
      <c r="H36" s="1202" t="s">
        <v>506</v>
      </c>
      <c r="I36" s="1203">
        <v>7073</v>
      </c>
      <c r="J36" s="1204">
        <v>7620</v>
      </c>
      <c r="K36" s="1205">
        <v>2500</v>
      </c>
      <c r="L36" s="1205">
        <v>2560</v>
      </c>
      <c r="M36" s="1205">
        <v>2560</v>
      </c>
      <c r="N36" s="1206">
        <f t="shared" si="4"/>
        <v>7620</v>
      </c>
      <c r="O36" s="1207">
        <v>2024509</v>
      </c>
      <c r="P36" s="1210">
        <v>2519</v>
      </c>
      <c r="Q36" s="1208">
        <f t="shared" si="14"/>
        <v>100.76</v>
      </c>
      <c r="R36" s="1210">
        <v>2213</v>
      </c>
      <c r="S36" s="1209">
        <f t="shared" si="10"/>
        <v>86.4453125</v>
      </c>
      <c r="T36" s="1210"/>
      <c r="U36" s="1211">
        <f t="shared" si="11"/>
        <v>0</v>
      </c>
      <c r="V36" s="1212">
        <f t="shared" si="9"/>
        <v>4732</v>
      </c>
      <c r="W36" s="1213"/>
      <c r="X36" s="1214">
        <v>730000</v>
      </c>
      <c r="Y36" s="1214">
        <v>700000</v>
      </c>
      <c r="Z36" s="1214">
        <v>594509</v>
      </c>
      <c r="AA36" s="1215">
        <f t="shared" si="13"/>
        <v>2024509</v>
      </c>
      <c r="AB36" s="1216">
        <f t="shared" si="6"/>
        <v>0</v>
      </c>
      <c r="AC36" s="1214">
        <v>727163</v>
      </c>
      <c r="AD36" s="1217">
        <f t="shared" si="12"/>
        <v>0.996113698630137</v>
      </c>
      <c r="AE36" s="1263">
        <v>616387.39</v>
      </c>
      <c r="AF36" s="1252">
        <f>+AE36/Y36</f>
        <v>0.8805534142857143</v>
      </c>
      <c r="AG36" s="1218">
        <v>506799.75</v>
      </c>
      <c r="AH36" s="1219" t="e">
        <f>+AG36/#REF!</f>
        <v>#REF!</v>
      </c>
      <c r="AI36" s="608">
        <f t="shared" si="7"/>
        <v>1343550.3900000001</v>
      </c>
      <c r="AJ36" s="1220" t="s">
        <v>610</v>
      </c>
      <c r="AK36" s="1221"/>
      <c r="AL36" s="557"/>
      <c r="AM36" s="557"/>
      <c r="AN36" s="557"/>
      <c r="AO36" s="725">
        <f t="shared" si="8"/>
        <v>0</v>
      </c>
      <c r="AP36" s="557"/>
      <c r="AQ36" s="557"/>
      <c r="AR36" s="557"/>
      <c r="AS36" s="557"/>
      <c r="AT36" s="557"/>
      <c r="AU36" s="557"/>
      <c r="AV36" s="557"/>
      <c r="AW36" s="557"/>
      <c r="AX36" s="557"/>
      <c r="AY36" s="557"/>
      <c r="AZ36" s="557"/>
      <c r="BA36" s="557"/>
      <c r="BB36" s="557"/>
      <c r="BC36" s="557"/>
      <c r="BD36" s="557"/>
      <c r="BE36" s="557"/>
      <c r="BF36" s="557"/>
      <c r="BG36" s="557"/>
      <c r="BH36" s="557"/>
      <c r="BI36" s="557"/>
      <c r="BJ36" s="557"/>
      <c r="BK36" s="557"/>
      <c r="BL36" s="557"/>
      <c r="BM36" s="557"/>
      <c r="BN36" s="557"/>
      <c r="BO36" s="557"/>
      <c r="BP36" s="557"/>
      <c r="BQ36" s="557"/>
      <c r="BR36" s="557"/>
      <c r="BS36" s="557"/>
    </row>
    <row r="37" spans="1:71" ht="28.5" customHeight="1" thickBot="1" thickTop="1">
      <c r="A37" s="6"/>
      <c r="B37" s="298"/>
      <c r="C37" s="298"/>
      <c r="D37" s="298"/>
      <c r="E37" s="1334"/>
      <c r="F37" s="1307"/>
      <c r="G37" s="1340"/>
      <c r="H37" s="32" t="s">
        <v>153</v>
      </c>
      <c r="I37" s="773">
        <v>3500</v>
      </c>
      <c r="J37" s="1102">
        <v>4920</v>
      </c>
      <c r="K37" s="1019">
        <v>1600</v>
      </c>
      <c r="L37" s="790">
        <v>1660</v>
      </c>
      <c r="M37" s="790">
        <v>1660</v>
      </c>
      <c r="N37" s="87">
        <f t="shared" si="4"/>
        <v>4920</v>
      </c>
      <c r="O37" s="1222"/>
      <c r="P37" s="825">
        <v>1556</v>
      </c>
      <c r="Q37" s="1018">
        <f t="shared" si="14"/>
        <v>97.25</v>
      </c>
      <c r="R37" s="825">
        <v>986</v>
      </c>
      <c r="S37" s="874">
        <f t="shared" si="10"/>
        <v>59.397590361445786</v>
      </c>
      <c r="T37" s="825"/>
      <c r="U37" s="865">
        <f t="shared" si="11"/>
        <v>0</v>
      </c>
      <c r="V37" s="662">
        <f t="shared" si="9"/>
        <v>2542</v>
      </c>
      <c r="W37" s="628"/>
      <c r="X37" s="1092">
        <f aca="true" t="shared" si="15" ref="X37:X48">+O37/3</f>
        <v>0</v>
      </c>
      <c r="Y37" s="1092">
        <v>0</v>
      </c>
      <c r="Z37" s="1092">
        <v>0</v>
      </c>
      <c r="AA37" s="809">
        <f t="shared" si="13"/>
        <v>0</v>
      </c>
      <c r="AB37" s="438">
        <f>+AA37-O40</f>
        <v>-1775418</v>
      </c>
      <c r="AC37" s="1092"/>
      <c r="AD37" s="664"/>
      <c r="AE37" s="801"/>
      <c r="AF37" s="1247"/>
      <c r="AG37" s="891"/>
      <c r="AH37" s="663"/>
      <c r="AI37" s="608">
        <f t="shared" si="7"/>
        <v>0</v>
      </c>
      <c r="AJ37" s="1131" t="s">
        <v>610</v>
      </c>
      <c r="AK37" s="762"/>
      <c r="AL37" s="557"/>
      <c r="AM37" s="557"/>
      <c r="AN37" s="557"/>
      <c r="AO37" s="725">
        <f>+AA37-O40</f>
        <v>-1775418</v>
      </c>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row>
    <row r="38" spans="1:71" ht="28.5" customHeight="1" thickBot="1" thickTop="1">
      <c r="A38" s="6"/>
      <c r="B38" s="298"/>
      <c r="C38" s="298"/>
      <c r="D38" s="298"/>
      <c r="E38" s="993" t="s">
        <v>549</v>
      </c>
      <c r="F38" s="1307"/>
      <c r="G38" s="1340"/>
      <c r="H38" s="32" t="s">
        <v>154</v>
      </c>
      <c r="I38" s="771">
        <v>1860</v>
      </c>
      <c r="J38" s="855">
        <v>2700</v>
      </c>
      <c r="K38" s="1019">
        <v>900</v>
      </c>
      <c r="L38" s="1019">
        <v>900</v>
      </c>
      <c r="M38" s="1019">
        <v>900</v>
      </c>
      <c r="N38" s="87">
        <f t="shared" si="4"/>
        <v>2700</v>
      </c>
      <c r="O38" s="1222"/>
      <c r="P38" s="825">
        <v>963</v>
      </c>
      <c r="Q38" s="1018">
        <f t="shared" si="14"/>
        <v>107</v>
      </c>
      <c r="R38" s="825">
        <v>675</v>
      </c>
      <c r="S38" s="874">
        <f t="shared" si="10"/>
        <v>75</v>
      </c>
      <c r="T38" s="825"/>
      <c r="U38" s="865">
        <f t="shared" si="11"/>
        <v>0</v>
      </c>
      <c r="V38" s="662">
        <f t="shared" si="9"/>
        <v>1638</v>
      </c>
      <c r="W38" s="628"/>
      <c r="X38" s="438">
        <f t="shared" si="15"/>
        <v>0</v>
      </c>
      <c r="Y38" s="76">
        <v>0</v>
      </c>
      <c r="Z38" s="76">
        <v>0</v>
      </c>
      <c r="AA38" s="809">
        <f t="shared" si="13"/>
        <v>0</v>
      </c>
      <c r="AB38" s="438">
        <f>+AA38-O41</f>
        <v>-940073</v>
      </c>
      <c r="AC38" s="419"/>
      <c r="AD38" s="664"/>
      <c r="AE38" s="801"/>
      <c r="AF38" s="1247"/>
      <c r="AG38" s="891"/>
      <c r="AH38" s="663"/>
      <c r="AI38" s="608">
        <f t="shared" si="7"/>
        <v>0</v>
      </c>
      <c r="AJ38" s="1131" t="s">
        <v>610</v>
      </c>
      <c r="AK38" s="762"/>
      <c r="AL38" s="557"/>
      <c r="AM38" s="557"/>
      <c r="AN38" s="557"/>
      <c r="AO38" s="725">
        <f>+AA38-O41</f>
        <v>-940073</v>
      </c>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row>
    <row r="39" spans="1:71" ht="28.5" customHeight="1" thickBot="1" thickTop="1">
      <c r="A39" s="6"/>
      <c r="B39" s="298"/>
      <c r="C39" s="298"/>
      <c r="D39" s="298"/>
      <c r="E39" s="994"/>
      <c r="F39" s="1307"/>
      <c r="G39" s="1341"/>
      <c r="H39" s="734" t="s">
        <v>162</v>
      </c>
      <c r="I39" s="837">
        <v>5232</v>
      </c>
      <c r="J39" s="1223">
        <v>7620</v>
      </c>
      <c r="K39" s="1224">
        <v>2500</v>
      </c>
      <c r="L39" s="1224">
        <v>2560</v>
      </c>
      <c r="M39" s="1224">
        <v>2560</v>
      </c>
      <c r="N39" s="673">
        <f t="shared" si="4"/>
        <v>7620</v>
      </c>
      <c r="O39" s="1225"/>
      <c r="P39" s="825">
        <v>2526</v>
      </c>
      <c r="Q39" s="882">
        <f t="shared" si="14"/>
        <v>101.03999999999999</v>
      </c>
      <c r="R39" s="825">
        <v>1658</v>
      </c>
      <c r="S39" s="1226">
        <f t="shared" si="10"/>
        <v>64.765625</v>
      </c>
      <c r="T39" s="825"/>
      <c r="U39" s="1227">
        <f t="shared" si="11"/>
        <v>0</v>
      </c>
      <c r="V39" s="1228">
        <f t="shared" si="9"/>
        <v>4184</v>
      </c>
      <c r="W39" s="827"/>
      <c r="X39" s="1229">
        <f t="shared" si="15"/>
        <v>0</v>
      </c>
      <c r="Y39" s="1230">
        <v>0</v>
      </c>
      <c r="Z39" s="1230">
        <v>0</v>
      </c>
      <c r="AA39" s="1231">
        <f t="shared" si="13"/>
        <v>0</v>
      </c>
      <c r="AB39" s="1229">
        <f>+AA39-O39</f>
        <v>0</v>
      </c>
      <c r="AC39" s="1232"/>
      <c r="AD39" s="1233"/>
      <c r="AE39" s="1264"/>
      <c r="AF39" s="1247"/>
      <c r="AG39" s="1234"/>
      <c r="AH39" s="1235"/>
      <c r="AI39" s="608">
        <f t="shared" si="7"/>
        <v>0</v>
      </c>
      <c r="AJ39" s="1236" t="s">
        <v>610</v>
      </c>
      <c r="AK39" s="1237"/>
      <c r="AL39" s="557"/>
      <c r="AM39" s="557"/>
      <c r="AN39" s="557"/>
      <c r="AO39" s="725">
        <f>+AA39-O39</f>
        <v>0</v>
      </c>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row>
    <row r="40" spans="1:71" ht="28.5" customHeight="1" thickBot="1" thickTop="1">
      <c r="A40" s="6"/>
      <c r="B40" s="298"/>
      <c r="C40" s="298"/>
      <c r="D40" s="298"/>
      <c r="E40" s="994"/>
      <c r="F40" s="1307"/>
      <c r="G40" s="996" t="s">
        <v>507</v>
      </c>
      <c r="H40" s="1154" t="s">
        <v>163</v>
      </c>
      <c r="I40" s="1200">
        <v>444</v>
      </c>
      <c r="J40" s="868">
        <v>450</v>
      </c>
      <c r="K40" s="956">
        <v>150</v>
      </c>
      <c r="L40" s="956">
        <v>150</v>
      </c>
      <c r="M40" s="956">
        <v>150</v>
      </c>
      <c r="N40" s="658">
        <f t="shared" si="4"/>
        <v>450</v>
      </c>
      <c r="O40" s="1201">
        <v>1775418</v>
      </c>
      <c r="P40" s="1171">
        <v>150</v>
      </c>
      <c r="Q40" s="1169">
        <f t="shared" si="14"/>
        <v>100</v>
      </c>
      <c r="R40" s="1171">
        <v>155</v>
      </c>
      <c r="S40" s="1170">
        <f t="shared" si="10"/>
        <v>103.33333333333334</v>
      </c>
      <c r="T40" s="1171"/>
      <c r="U40" s="1172">
        <f t="shared" si="11"/>
        <v>0</v>
      </c>
      <c r="V40" s="1173">
        <f t="shared" si="9"/>
        <v>305</v>
      </c>
      <c r="W40" s="667"/>
      <c r="X40" s="1176">
        <v>640000</v>
      </c>
      <c r="Y40" s="1176">
        <v>600000</v>
      </c>
      <c r="Z40" s="1176">
        <v>535418</v>
      </c>
      <c r="AA40" s="1175">
        <f t="shared" si="13"/>
        <v>1775418</v>
      </c>
      <c r="AB40" s="1176" t="e">
        <f>+AA40-#REF!</f>
        <v>#REF!</v>
      </c>
      <c r="AC40" s="1174">
        <v>637694</v>
      </c>
      <c r="AD40" s="1177">
        <f>+AC40/X40</f>
        <v>0.996396875</v>
      </c>
      <c r="AE40" s="937">
        <v>540548.42</v>
      </c>
      <c r="AF40" s="1253">
        <f>+AE40/Y40</f>
        <v>0.9009140333333334</v>
      </c>
      <c r="AG40" s="892">
        <v>441425.86</v>
      </c>
      <c r="AH40" s="1178" t="e">
        <f>+AG40/#REF!</f>
        <v>#REF!</v>
      </c>
      <c r="AI40" s="608">
        <f t="shared" si="7"/>
        <v>1178242.42</v>
      </c>
      <c r="AJ40" s="1179" t="s">
        <v>610</v>
      </c>
      <c r="AL40" s="557"/>
      <c r="AM40" s="557"/>
      <c r="AN40" s="557"/>
      <c r="AO40" s="725" t="e">
        <f>+AA40-#REF!</f>
        <v>#REF!</v>
      </c>
      <c r="AP40" s="557"/>
      <c r="AQ40" s="557"/>
      <c r="AR40" s="557"/>
      <c r="AS40" s="557"/>
      <c r="AT40" s="557"/>
      <c r="AU40" s="557"/>
      <c r="AV40" s="557"/>
      <c r="AW40" s="557"/>
      <c r="AX40" s="557"/>
      <c r="AY40" s="557"/>
      <c r="AZ40" s="557"/>
      <c r="BA40" s="557"/>
      <c r="BB40" s="557"/>
      <c r="BC40" s="557"/>
      <c r="BD40" s="557"/>
      <c r="BE40" s="557"/>
      <c r="BF40" s="557"/>
      <c r="BG40" s="557"/>
      <c r="BH40" s="557"/>
      <c r="BI40" s="557"/>
      <c r="BJ40" s="557"/>
      <c r="BK40" s="557"/>
      <c r="BL40" s="557"/>
      <c r="BM40" s="557"/>
      <c r="BN40" s="557"/>
      <c r="BO40" s="557"/>
      <c r="BP40" s="557"/>
      <c r="BQ40" s="557"/>
      <c r="BR40" s="557"/>
      <c r="BS40" s="557"/>
    </row>
    <row r="41" spans="1:71" ht="28.5" customHeight="1" thickBot="1" thickTop="1">
      <c r="A41" s="6"/>
      <c r="B41" s="298"/>
      <c r="C41" s="298"/>
      <c r="D41" s="298"/>
      <c r="E41" s="994"/>
      <c r="F41" s="1309"/>
      <c r="G41" s="735" t="s">
        <v>508</v>
      </c>
      <c r="H41" s="734" t="s">
        <v>509</v>
      </c>
      <c r="I41" s="837">
        <v>250</v>
      </c>
      <c r="J41" s="1103">
        <v>100</v>
      </c>
      <c r="K41" s="909">
        <v>30</v>
      </c>
      <c r="L41" s="909">
        <v>35</v>
      </c>
      <c r="M41" s="909">
        <v>35</v>
      </c>
      <c r="N41" s="87">
        <f t="shared" si="4"/>
        <v>100</v>
      </c>
      <c r="O41" s="1078">
        <v>940073</v>
      </c>
      <c r="P41" s="825">
        <v>29</v>
      </c>
      <c r="Q41" s="1018">
        <f t="shared" si="14"/>
        <v>96.66666666666667</v>
      </c>
      <c r="R41" s="825">
        <v>18</v>
      </c>
      <c r="S41" s="874">
        <f t="shared" si="10"/>
        <v>51.42857142857142</v>
      </c>
      <c r="T41" s="825"/>
      <c r="U41" s="865">
        <f t="shared" si="11"/>
        <v>0</v>
      </c>
      <c r="V41" s="662">
        <f t="shared" si="9"/>
        <v>47</v>
      </c>
      <c r="W41" s="827"/>
      <c r="X41" s="438">
        <f t="shared" si="15"/>
        <v>313357.6666666667</v>
      </c>
      <c r="Y41" s="438">
        <v>313357.6666666667</v>
      </c>
      <c r="Z41" s="438">
        <v>313357.6666666667</v>
      </c>
      <c r="AA41" s="809">
        <f t="shared" si="13"/>
        <v>940073</v>
      </c>
      <c r="AB41" s="438" t="e">
        <f>+AA41-#REF!</f>
        <v>#REF!</v>
      </c>
      <c r="AC41" s="1092">
        <f>337655</f>
        <v>337655</v>
      </c>
      <c r="AD41" s="1127">
        <f>+AC41/X41</f>
        <v>1.077538659231783</v>
      </c>
      <c r="AE41" s="801">
        <v>286217.26</v>
      </c>
      <c r="AF41" s="1253">
        <f aca="true" t="shared" si="16" ref="AF41:AF48">+AE41/Y41</f>
        <v>0.9133884070705147</v>
      </c>
      <c r="AG41" s="891">
        <v>236081</v>
      </c>
      <c r="AH41" s="765" t="e">
        <f>+AG41/#REF!</f>
        <v>#REF!</v>
      </c>
      <c r="AI41" s="608">
        <f t="shared" si="7"/>
        <v>623872.26</v>
      </c>
      <c r="AJ41" s="1131" t="s">
        <v>610</v>
      </c>
      <c r="AL41" s="557"/>
      <c r="AM41" s="557"/>
      <c r="AN41" s="557"/>
      <c r="AO41" s="725" t="e">
        <f>+AA41-#REF!</f>
        <v>#REF!</v>
      </c>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57"/>
      <c r="BS41" s="557"/>
    </row>
    <row r="42" spans="1:71" ht="23.25" customHeight="1" thickBot="1" thickTop="1">
      <c r="A42" s="6"/>
      <c r="B42" s="298"/>
      <c r="C42" s="298"/>
      <c r="D42" s="298"/>
      <c r="E42" s="1332" t="s">
        <v>549</v>
      </c>
      <c r="F42" s="1011" t="s">
        <v>117</v>
      </c>
      <c r="G42" s="1011" t="s">
        <v>118</v>
      </c>
      <c r="H42" s="1011" t="s">
        <v>119</v>
      </c>
      <c r="I42" s="770">
        <v>750000</v>
      </c>
      <c r="J42" s="953">
        <v>783000</v>
      </c>
      <c r="K42" s="790">
        <v>261000</v>
      </c>
      <c r="L42" s="790">
        <v>261000</v>
      </c>
      <c r="M42" s="790">
        <v>261000</v>
      </c>
      <c r="N42" s="87">
        <f t="shared" si="4"/>
        <v>783000</v>
      </c>
      <c r="O42" s="1047">
        <v>2411582</v>
      </c>
      <c r="P42" s="825">
        <v>260602</v>
      </c>
      <c r="Q42" s="1018">
        <f t="shared" si="14"/>
        <v>99.84750957854406</v>
      </c>
      <c r="R42" s="825">
        <v>257262</v>
      </c>
      <c r="S42" s="874">
        <f t="shared" si="10"/>
        <v>98.56781609195401</v>
      </c>
      <c r="T42" s="825"/>
      <c r="U42" s="865">
        <f t="shared" si="11"/>
        <v>0</v>
      </c>
      <c r="V42" s="662">
        <f t="shared" si="9"/>
        <v>517864</v>
      </c>
      <c r="W42" s="628"/>
      <c r="X42" s="438">
        <v>890000</v>
      </c>
      <c r="Y42" s="438">
        <v>810000</v>
      </c>
      <c r="Z42" s="438">
        <v>711582</v>
      </c>
      <c r="AA42" s="809">
        <f t="shared" si="13"/>
        <v>2411582</v>
      </c>
      <c r="AB42" s="438">
        <f>+AA42-O42</f>
        <v>0</v>
      </c>
      <c r="AC42" s="1092">
        <v>866192</v>
      </c>
      <c r="AD42" s="1127">
        <f>+AC42/X42</f>
        <v>0.9732494382022472</v>
      </c>
      <c r="AE42" s="801">
        <v>734236.86</v>
      </c>
      <c r="AF42" s="1253">
        <f t="shared" si="16"/>
        <v>0.9064652592592592</v>
      </c>
      <c r="AG42" s="891">
        <v>623311.11</v>
      </c>
      <c r="AH42" s="765" t="e">
        <f>+AG42/#REF!</f>
        <v>#REF!</v>
      </c>
      <c r="AI42" s="608">
        <f t="shared" si="7"/>
        <v>1600428.8599999999</v>
      </c>
      <c r="AJ42" s="1131" t="s">
        <v>611</v>
      </c>
      <c r="AK42" s="629" t="s">
        <v>382</v>
      </c>
      <c r="AL42" s="762"/>
      <c r="AM42" s="762"/>
      <c r="AN42" s="762"/>
      <c r="AO42" s="725">
        <f>+AA42-O42</f>
        <v>0</v>
      </c>
      <c r="AP42" s="762"/>
      <c r="AQ42" s="762"/>
      <c r="AR42" s="762"/>
      <c r="AS42" s="762"/>
      <c r="AT42" s="762"/>
      <c r="AU42" s="762"/>
      <c r="AV42" s="762"/>
      <c r="AW42" s="762"/>
      <c r="AX42" s="762"/>
      <c r="AY42" s="762"/>
      <c r="AZ42" s="762"/>
      <c r="BA42" s="762"/>
      <c r="BB42" s="762"/>
      <c r="BC42" s="762"/>
      <c r="BD42" s="557"/>
      <c r="BE42" s="557"/>
      <c r="BF42" s="557"/>
      <c r="BG42" s="557"/>
      <c r="BH42" s="557"/>
      <c r="BI42" s="557"/>
      <c r="BJ42" s="557"/>
      <c r="BK42" s="557"/>
      <c r="BL42" s="557"/>
      <c r="BM42" s="557"/>
      <c r="BN42" s="557"/>
      <c r="BO42" s="557"/>
      <c r="BP42" s="557"/>
      <c r="BQ42" s="557"/>
      <c r="BR42" s="557"/>
      <c r="BS42" s="557"/>
    </row>
    <row r="43" spans="1:71" ht="23.25" customHeight="1" thickBot="1" thickTop="1">
      <c r="A43" s="6"/>
      <c r="B43" s="298"/>
      <c r="C43" s="298"/>
      <c r="D43" s="298"/>
      <c r="E43" s="1333"/>
      <c r="F43" s="1310" t="s">
        <v>597</v>
      </c>
      <c r="G43" s="1310" t="s">
        <v>121</v>
      </c>
      <c r="H43" s="1011" t="s">
        <v>122</v>
      </c>
      <c r="I43" s="770">
        <v>57200</v>
      </c>
      <c r="J43" s="953">
        <v>60000</v>
      </c>
      <c r="K43" s="790">
        <v>20000</v>
      </c>
      <c r="L43" s="790">
        <v>20000</v>
      </c>
      <c r="M43" s="790">
        <v>20000</v>
      </c>
      <c r="N43" s="87">
        <f t="shared" si="4"/>
        <v>60000</v>
      </c>
      <c r="O43" s="1047">
        <v>1317607</v>
      </c>
      <c r="P43" s="825">
        <v>19751</v>
      </c>
      <c r="Q43" s="1018">
        <f t="shared" si="14"/>
        <v>98.75500000000001</v>
      </c>
      <c r="R43" s="825">
        <v>21609</v>
      </c>
      <c r="S43" s="874">
        <f t="shared" si="10"/>
        <v>108.04499999999999</v>
      </c>
      <c r="T43" s="825"/>
      <c r="U43" s="865">
        <f t="shared" si="11"/>
        <v>0</v>
      </c>
      <c r="V43" s="662">
        <f t="shared" si="9"/>
        <v>41360</v>
      </c>
      <c r="W43" s="628"/>
      <c r="X43" s="438">
        <v>495000</v>
      </c>
      <c r="Y43" s="438">
        <v>428000</v>
      </c>
      <c r="Z43" s="438">
        <v>394607</v>
      </c>
      <c r="AA43" s="809">
        <f t="shared" si="13"/>
        <v>1317607</v>
      </c>
      <c r="AB43" s="438">
        <f>+AA43-O43</f>
        <v>0</v>
      </c>
      <c r="AC43" s="1092">
        <v>473258</v>
      </c>
      <c r="AD43" s="1127">
        <f>+AC43/X43</f>
        <v>0.9560767676767676</v>
      </c>
      <c r="AE43" s="801">
        <v>401162.3</v>
      </c>
      <c r="AF43" s="1253">
        <f t="shared" si="16"/>
        <v>0.9372950934579439</v>
      </c>
      <c r="AG43" s="891">
        <v>325121.22</v>
      </c>
      <c r="AH43" s="765" t="e">
        <f>+AG43/#REF!</f>
        <v>#REF!</v>
      </c>
      <c r="AI43" s="608">
        <f t="shared" si="7"/>
        <v>874420.3</v>
      </c>
      <c r="AJ43" s="1131" t="s">
        <v>611</v>
      </c>
      <c r="AK43" s="629" t="s">
        <v>674</v>
      </c>
      <c r="AL43" s="557"/>
      <c r="AM43" s="557"/>
      <c r="AN43" s="557"/>
      <c r="AO43" s="725">
        <f>+AA43-O43</f>
        <v>0</v>
      </c>
      <c r="AP43" s="557"/>
      <c r="AQ43" s="557"/>
      <c r="AR43" s="557"/>
      <c r="AS43" s="557"/>
      <c r="AT43" s="557"/>
      <c r="AU43" s="557"/>
      <c r="AV43" s="557"/>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row>
    <row r="44" spans="1:71" ht="23.25" customHeight="1" thickBot="1" thickTop="1">
      <c r="A44" s="6"/>
      <c r="B44" s="298"/>
      <c r="C44" s="298"/>
      <c r="D44" s="298"/>
      <c r="E44" s="1333"/>
      <c r="F44" s="1311"/>
      <c r="G44" s="1311"/>
      <c r="H44" s="1011" t="s">
        <v>595</v>
      </c>
      <c r="I44" s="770">
        <v>0</v>
      </c>
      <c r="J44" s="953">
        <v>12300</v>
      </c>
      <c r="K44" s="790">
        <v>200</v>
      </c>
      <c r="L44" s="790">
        <v>6050</v>
      </c>
      <c r="M44" s="790">
        <v>6050</v>
      </c>
      <c r="N44" s="87">
        <f t="shared" si="4"/>
        <v>12300</v>
      </c>
      <c r="P44" s="825">
        <v>207</v>
      </c>
      <c r="Q44" s="1018">
        <f t="shared" si="14"/>
        <v>103.49999999999999</v>
      </c>
      <c r="R44" s="825">
        <v>5349</v>
      </c>
      <c r="S44" s="874">
        <f t="shared" si="10"/>
        <v>88.41322314049587</v>
      </c>
      <c r="T44" s="825"/>
      <c r="U44" s="865">
        <f t="shared" si="11"/>
        <v>0</v>
      </c>
      <c r="V44" s="662">
        <f t="shared" si="9"/>
        <v>5556</v>
      </c>
      <c r="W44" s="628"/>
      <c r="X44" s="438">
        <f t="shared" si="15"/>
        <v>0</v>
      </c>
      <c r="Y44" s="108">
        <v>0</v>
      </c>
      <c r="Z44" s="108">
        <v>0</v>
      </c>
      <c r="AA44" s="809">
        <f t="shared" si="13"/>
        <v>0</v>
      </c>
      <c r="AB44" s="438"/>
      <c r="AC44" s="417"/>
      <c r="AD44" s="765"/>
      <c r="AE44" s="801"/>
      <c r="AF44" s="1253" t="e">
        <f t="shared" si="16"/>
        <v>#DIV/0!</v>
      </c>
      <c r="AG44" s="891"/>
      <c r="AH44" s="765"/>
      <c r="AI44" s="608">
        <f t="shared" si="7"/>
        <v>0</v>
      </c>
      <c r="AJ44" s="1131" t="s">
        <v>611</v>
      </c>
      <c r="AK44" s="629"/>
      <c r="AL44" s="557"/>
      <c r="AM44" s="557"/>
      <c r="AN44" s="557"/>
      <c r="AO44" s="725"/>
      <c r="AP44" s="557"/>
      <c r="AQ44" s="557"/>
      <c r="AR44" s="557"/>
      <c r="AS44" s="557"/>
      <c r="AT44" s="557"/>
      <c r="AU44" s="557"/>
      <c r="AV44" s="557"/>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row>
    <row r="45" spans="1:71" ht="23.25" customHeight="1" thickBot="1" thickTop="1">
      <c r="A45" s="6"/>
      <c r="B45" s="298"/>
      <c r="C45" s="298"/>
      <c r="D45" s="298"/>
      <c r="E45" s="1333"/>
      <c r="F45" s="1312"/>
      <c r="G45" s="1312"/>
      <c r="H45" s="1011" t="s">
        <v>596</v>
      </c>
      <c r="I45" s="770">
        <v>0</v>
      </c>
      <c r="J45" s="792">
        <v>30900</v>
      </c>
      <c r="K45" s="790">
        <v>10300</v>
      </c>
      <c r="L45" s="790">
        <v>10300</v>
      </c>
      <c r="M45" s="790">
        <v>10300</v>
      </c>
      <c r="N45" s="87">
        <f t="shared" si="4"/>
        <v>30900</v>
      </c>
      <c r="P45" s="825">
        <v>10324</v>
      </c>
      <c r="Q45" s="1018">
        <f t="shared" si="14"/>
        <v>100.23300970873788</v>
      </c>
      <c r="R45" s="825">
        <v>11174</v>
      </c>
      <c r="S45" s="874">
        <f t="shared" si="10"/>
        <v>108.4854368932039</v>
      </c>
      <c r="T45" s="825"/>
      <c r="U45" s="865"/>
      <c r="V45" s="662">
        <f t="shared" si="9"/>
        <v>21498</v>
      </c>
      <c r="W45" s="628"/>
      <c r="X45" s="438">
        <f t="shared" si="15"/>
        <v>0</v>
      </c>
      <c r="Y45" s="108">
        <v>0</v>
      </c>
      <c r="Z45" s="108">
        <v>0</v>
      </c>
      <c r="AA45" s="809">
        <f t="shared" si="13"/>
        <v>0</v>
      </c>
      <c r="AB45" s="438"/>
      <c r="AC45" s="417"/>
      <c r="AD45" s="777"/>
      <c r="AE45" s="801"/>
      <c r="AF45" s="1253" t="e">
        <f t="shared" si="16"/>
        <v>#DIV/0!</v>
      </c>
      <c r="AG45" s="891"/>
      <c r="AH45" s="765"/>
      <c r="AI45" s="608">
        <f t="shared" si="7"/>
        <v>0</v>
      </c>
      <c r="AJ45" s="1131" t="s">
        <v>611</v>
      </c>
      <c r="AK45" s="629"/>
      <c r="AL45" s="557"/>
      <c r="AM45" s="557"/>
      <c r="AN45" s="557"/>
      <c r="AO45" s="725"/>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row>
    <row r="46" spans="1:71" ht="23.25" customHeight="1" thickBot="1" thickTop="1">
      <c r="A46" s="6"/>
      <c r="B46" s="298"/>
      <c r="C46" s="298"/>
      <c r="D46" s="298"/>
      <c r="E46" s="1333"/>
      <c r="F46" s="1011" t="s">
        <v>598</v>
      </c>
      <c r="G46" s="1011" t="s">
        <v>271</v>
      </c>
      <c r="H46" s="1011"/>
      <c r="I46" s="770">
        <v>0</v>
      </c>
      <c r="J46" s="953">
        <v>7500</v>
      </c>
      <c r="K46" s="790">
        <v>2500</v>
      </c>
      <c r="L46" s="790">
        <v>2500</v>
      </c>
      <c r="M46" s="790">
        <v>2500</v>
      </c>
      <c r="N46" s="87">
        <f t="shared" si="4"/>
        <v>7500</v>
      </c>
      <c r="O46" s="1079"/>
      <c r="P46" s="825">
        <v>2496</v>
      </c>
      <c r="Q46" s="1018">
        <f t="shared" si="14"/>
        <v>99.83999999999999</v>
      </c>
      <c r="R46" s="825">
        <v>2300</v>
      </c>
      <c r="S46" s="874">
        <f t="shared" si="10"/>
        <v>92</v>
      </c>
      <c r="T46" s="825"/>
      <c r="U46" s="865"/>
      <c r="V46" s="662">
        <f t="shared" si="9"/>
        <v>4796</v>
      </c>
      <c r="W46" s="628"/>
      <c r="X46" s="438">
        <f t="shared" si="15"/>
        <v>0</v>
      </c>
      <c r="Y46" s="108">
        <v>0</v>
      </c>
      <c r="Z46" s="108">
        <v>0</v>
      </c>
      <c r="AA46" s="809">
        <f t="shared" si="13"/>
        <v>0</v>
      </c>
      <c r="AB46" s="438"/>
      <c r="AC46" s="1094"/>
      <c r="AD46" s="765"/>
      <c r="AE46" s="801"/>
      <c r="AF46" s="1253" t="e">
        <f t="shared" si="16"/>
        <v>#DIV/0!</v>
      </c>
      <c r="AG46" s="891"/>
      <c r="AH46" s="765"/>
      <c r="AI46" s="608">
        <f t="shared" si="7"/>
        <v>0</v>
      </c>
      <c r="AJ46" s="1131" t="s">
        <v>610</v>
      </c>
      <c r="AK46" s="629"/>
      <c r="AL46" s="557"/>
      <c r="AM46" s="557"/>
      <c r="AN46" s="557"/>
      <c r="AO46" s="725"/>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row>
    <row r="47" spans="1:71" ht="50.25" customHeight="1" thickBot="1">
      <c r="A47" s="6"/>
      <c r="B47" s="298"/>
      <c r="C47" s="298"/>
      <c r="D47" s="298"/>
      <c r="E47" s="1333"/>
      <c r="F47" s="1011" t="s">
        <v>599</v>
      </c>
      <c r="G47" s="1011" t="s">
        <v>127</v>
      </c>
      <c r="H47" s="1011" t="s">
        <v>583</v>
      </c>
      <c r="I47" s="770">
        <v>0</v>
      </c>
      <c r="J47" s="953">
        <v>141000</v>
      </c>
      <c r="K47" s="790">
        <v>47000</v>
      </c>
      <c r="L47" s="790">
        <v>47000</v>
      </c>
      <c r="M47" s="790">
        <v>47000</v>
      </c>
      <c r="N47" s="87">
        <f t="shared" si="4"/>
        <v>141000</v>
      </c>
      <c r="O47" s="1047">
        <v>445958</v>
      </c>
      <c r="P47" s="825">
        <v>47174</v>
      </c>
      <c r="Q47" s="1018">
        <f t="shared" si="14"/>
        <v>100.37021276595746</v>
      </c>
      <c r="R47" s="825">
        <v>50102</v>
      </c>
      <c r="S47" s="874">
        <f>+R47/L47*100</f>
        <v>106.60000000000001</v>
      </c>
      <c r="T47" s="825"/>
      <c r="U47" s="865">
        <f>+T47/M47*100</f>
        <v>0</v>
      </c>
      <c r="V47" s="662">
        <f t="shared" si="9"/>
        <v>97276</v>
      </c>
      <c r="W47" s="628"/>
      <c r="X47" s="1238">
        <f t="shared" si="15"/>
        <v>148652.66666666666</v>
      </c>
      <c r="Y47" s="108">
        <v>148652.66666666666</v>
      </c>
      <c r="Z47" s="108">
        <v>148652.66666666666</v>
      </c>
      <c r="AA47" s="809">
        <f t="shared" si="13"/>
        <v>445958</v>
      </c>
      <c r="AB47" s="438" t="e">
        <f>+AA47-#REF!</f>
        <v>#REF!</v>
      </c>
      <c r="AC47" s="1094">
        <f>160179-11500</f>
        <v>148679</v>
      </c>
      <c r="AD47" s="1126">
        <f>+AC47/X47</f>
        <v>1.000177146726822</v>
      </c>
      <c r="AE47" s="801">
        <v>135777.62</v>
      </c>
      <c r="AF47" s="1253">
        <f t="shared" si="16"/>
        <v>0.9133883908350114</v>
      </c>
      <c r="AG47" s="891">
        <v>198063.27</v>
      </c>
      <c r="AH47" s="765" t="e">
        <f>+AG47/#REF!</f>
        <v>#REF!</v>
      </c>
      <c r="AI47" s="608">
        <f t="shared" si="7"/>
        <v>284456.62</v>
      </c>
      <c r="AJ47" s="1131" t="s">
        <v>611</v>
      </c>
      <c r="AK47" s="774"/>
      <c r="AL47" s="557"/>
      <c r="AM47" s="557"/>
      <c r="AN47" s="557"/>
      <c r="AO47" s="725" t="e">
        <f>+AA47-#REF!</f>
        <v>#REF!</v>
      </c>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row>
    <row r="48" spans="1:71" ht="42" customHeight="1" thickBot="1" thickTop="1">
      <c r="A48" s="6"/>
      <c r="B48" s="298"/>
      <c r="C48" s="298"/>
      <c r="D48" s="298"/>
      <c r="E48" s="1333"/>
      <c r="F48" s="34" t="s">
        <v>588</v>
      </c>
      <c r="G48" s="35" t="s">
        <v>511</v>
      </c>
      <c r="H48" s="32" t="s">
        <v>584</v>
      </c>
      <c r="I48" s="1038">
        <v>0</v>
      </c>
      <c r="J48" s="855">
        <v>11800</v>
      </c>
      <c r="K48" s="913">
        <v>3850</v>
      </c>
      <c r="L48" s="913">
        <v>3970</v>
      </c>
      <c r="M48" s="913">
        <v>3980</v>
      </c>
      <c r="N48" s="87">
        <f t="shared" si="4"/>
        <v>11800</v>
      </c>
      <c r="O48" s="1047">
        <v>63168</v>
      </c>
      <c r="P48" s="825">
        <v>3958</v>
      </c>
      <c r="Q48" s="1018">
        <f t="shared" si="14"/>
        <v>102.80519480519482</v>
      </c>
      <c r="R48" s="825">
        <v>3442</v>
      </c>
      <c r="S48" s="874">
        <f>+R48/L48*100</f>
        <v>86.70025188916877</v>
      </c>
      <c r="T48" s="825"/>
      <c r="U48" s="865">
        <f>+T48/M48*100</f>
        <v>0</v>
      </c>
      <c r="V48" s="662">
        <f t="shared" si="9"/>
        <v>7400</v>
      </c>
      <c r="W48" s="628"/>
      <c r="X48" s="1238">
        <f t="shared" si="15"/>
        <v>21056</v>
      </c>
      <c r="Y48" s="108">
        <v>21056</v>
      </c>
      <c r="Z48" s="108">
        <v>21056</v>
      </c>
      <c r="AA48" s="809">
        <f t="shared" si="13"/>
        <v>63168</v>
      </c>
      <c r="AB48" s="438" t="e">
        <f>+AA48-#REF!</f>
        <v>#REF!</v>
      </c>
      <c r="AC48" s="1094">
        <v>20688</v>
      </c>
      <c r="AD48" s="1126">
        <f>+AC48/X48</f>
        <v>0.9825227963525835</v>
      </c>
      <c r="AE48" s="801">
        <v>19232.11</v>
      </c>
      <c r="AF48" s="1253">
        <f t="shared" si="16"/>
        <v>0.9133790843465046</v>
      </c>
      <c r="AG48" s="891">
        <v>16045.27</v>
      </c>
      <c r="AH48" s="765" t="e">
        <f>+(#REF!+#REF!+AG48)/(#REF!+#REF!+#REF!)</f>
        <v>#REF!</v>
      </c>
      <c r="AI48" s="608">
        <f t="shared" si="7"/>
        <v>39920.11</v>
      </c>
      <c r="AJ48" s="1131" t="s">
        <v>610</v>
      </c>
      <c r="AK48" s="775"/>
      <c r="AL48" s="557"/>
      <c r="AM48" s="557"/>
      <c r="AN48" s="557"/>
      <c r="AO48" s="725" t="e">
        <f>+AA48-#REF!</f>
        <v>#REF!</v>
      </c>
      <c r="AP48" s="557"/>
      <c r="AQ48" s="557"/>
      <c r="AR48" s="557"/>
      <c r="AS48" s="557"/>
      <c r="AT48" s="557"/>
      <c r="AU48" s="557"/>
      <c r="AV48" s="557"/>
      <c r="AW48" s="557"/>
      <c r="AX48" s="557"/>
      <c r="AY48" s="557"/>
      <c r="AZ48" s="557"/>
      <c r="BA48" s="557"/>
      <c r="BB48" s="557"/>
      <c r="BC48" s="557"/>
      <c r="BD48" s="557"/>
      <c r="BE48" s="557"/>
      <c r="BF48" s="557"/>
      <c r="BG48" s="557"/>
      <c r="BH48" s="557"/>
      <c r="BI48" s="557"/>
      <c r="BJ48" s="557"/>
      <c r="BK48" s="557"/>
      <c r="BL48" s="557"/>
      <c r="BM48" s="557"/>
      <c r="BN48" s="557"/>
      <c r="BO48" s="557"/>
      <c r="BP48" s="557"/>
      <c r="BQ48" s="557"/>
      <c r="BR48" s="557"/>
      <c r="BS48" s="557"/>
    </row>
    <row r="49" spans="1:71" ht="23.25" customHeight="1" thickBot="1" thickTop="1">
      <c r="A49" s="6"/>
      <c r="B49" s="298"/>
      <c r="C49" s="298"/>
      <c r="D49" s="298"/>
      <c r="E49" s="1333"/>
      <c r="F49" s="1306" t="s">
        <v>274</v>
      </c>
      <c r="G49" s="1373" t="s">
        <v>271</v>
      </c>
      <c r="H49" s="1306" t="s">
        <v>272</v>
      </c>
      <c r="I49" s="997">
        <v>0</v>
      </c>
      <c r="J49" s="997">
        <v>3118</v>
      </c>
      <c r="K49" s="997">
        <v>118</v>
      </c>
      <c r="L49" s="955">
        <v>1500</v>
      </c>
      <c r="M49" s="955">
        <v>1500</v>
      </c>
      <c r="N49" s="87">
        <f t="shared" si="4"/>
        <v>3118</v>
      </c>
      <c r="O49" s="1079"/>
      <c r="P49" s="825">
        <v>118</v>
      </c>
      <c r="Q49" s="1018">
        <f t="shared" si="14"/>
        <v>100</v>
      </c>
      <c r="R49" s="825">
        <v>1504</v>
      </c>
      <c r="S49" s="874">
        <f>+R49/L49*100</f>
        <v>100.26666666666667</v>
      </c>
      <c r="T49" s="825"/>
      <c r="U49" s="865">
        <f>+T49/M49*100</f>
        <v>0</v>
      </c>
      <c r="V49" s="662">
        <f t="shared" si="9"/>
        <v>1622</v>
      </c>
      <c r="W49" s="1239"/>
      <c r="X49" s="108">
        <v>0</v>
      </c>
      <c r="Y49" s="108">
        <v>0</v>
      </c>
      <c r="Z49" s="108">
        <v>0</v>
      </c>
      <c r="AA49" s="809">
        <f t="shared" si="13"/>
        <v>0</v>
      </c>
      <c r="AB49" s="438">
        <f>+AA49-O49</f>
        <v>0</v>
      </c>
      <c r="AC49" s="1094">
        <v>0</v>
      </c>
      <c r="AD49" s="1126">
        <v>0</v>
      </c>
      <c r="AE49" s="1094">
        <v>0</v>
      </c>
      <c r="AF49" s="1253">
        <v>0</v>
      </c>
      <c r="AG49" s="891">
        <v>0</v>
      </c>
      <c r="AH49" s="765">
        <v>0</v>
      </c>
      <c r="AI49" s="608">
        <f t="shared" si="7"/>
        <v>0</v>
      </c>
      <c r="AJ49" s="1131" t="s">
        <v>611</v>
      </c>
      <c r="AK49" s="770" t="s">
        <v>676</v>
      </c>
      <c r="AL49" s="557"/>
      <c r="AM49" s="557"/>
      <c r="AN49" s="557"/>
      <c r="AO49" s="725">
        <f>+AA49-O49</f>
        <v>0</v>
      </c>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57"/>
      <c r="BS49" s="557"/>
    </row>
    <row r="50" spans="1:71" ht="23.25" customHeight="1" thickBot="1">
      <c r="A50" s="6"/>
      <c r="B50" s="298" t="s">
        <v>386</v>
      </c>
      <c r="C50" s="298" t="s">
        <v>200</v>
      </c>
      <c r="D50" s="298" t="s">
        <v>203</v>
      </c>
      <c r="E50" s="1333"/>
      <c r="F50" s="1372"/>
      <c r="G50" s="1374"/>
      <c r="H50" s="1372"/>
      <c r="I50" s="998"/>
      <c r="J50" s="868"/>
      <c r="K50" s="868"/>
      <c r="L50" s="956"/>
      <c r="M50" s="956"/>
      <c r="N50" s="87">
        <f t="shared" si="4"/>
        <v>0</v>
      </c>
      <c r="O50" s="1079"/>
      <c r="P50" s="825"/>
      <c r="Q50" s="1018"/>
      <c r="R50" s="825"/>
      <c r="S50" s="874">
        <f>+R50/L49*100</f>
        <v>0</v>
      </c>
      <c r="T50" s="825"/>
      <c r="U50" s="882">
        <f>+T50/M49*100</f>
        <v>0</v>
      </c>
      <c r="V50" s="662">
        <f t="shared" si="9"/>
        <v>0</v>
      </c>
      <c r="W50" s="1239"/>
      <c r="X50" s="108"/>
      <c r="Y50" s="108"/>
      <c r="Z50" s="108"/>
      <c r="AA50" s="809">
        <f t="shared" si="13"/>
        <v>0</v>
      </c>
      <c r="AB50" s="438">
        <f>+AA50-O50</f>
        <v>0</v>
      </c>
      <c r="AC50" s="1094"/>
      <c r="AD50" s="772"/>
      <c r="AE50" s="801">
        <v>0</v>
      </c>
      <c r="AF50" s="1253">
        <v>0</v>
      </c>
      <c r="AG50" s="891">
        <v>0</v>
      </c>
      <c r="AH50" s="765" t="e">
        <f>+(#REF!+#REF!+AG50)/(#REF!+#REF!+#REF!)</f>
        <v>#REF!</v>
      </c>
      <c r="AI50" s="608">
        <f t="shared" si="7"/>
        <v>0</v>
      </c>
      <c r="AJ50" s="1131" t="s">
        <v>611</v>
      </c>
      <c r="AK50" s="770"/>
      <c r="AL50" s="557"/>
      <c r="AM50" s="557"/>
      <c r="AN50" s="557"/>
      <c r="AO50" s="725">
        <f>+AA50-O50</f>
        <v>0</v>
      </c>
      <c r="AP50" s="557"/>
      <c r="AQ50" s="557"/>
      <c r="AR50" s="557"/>
      <c r="AS50" s="557"/>
      <c r="AT50" s="557"/>
      <c r="AU50" s="557"/>
      <c r="AV50" s="557"/>
      <c r="AW50" s="557"/>
      <c r="AX50" s="557"/>
      <c r="AY50" s="557"/>
      <c r="AZ50" s="557"/>
      <c r="BA50" s="557"/>
      <c r="BB50" s="557"/>
      <c r="BC50" s="557"/>
      <c r="BD50" s="557"/>
      <c r="BE50" s="557"/>
      <c r="BF50" s="557"/>
      <c r="BG50" s="557"/>
      <c r="BH50" s="557"/>
      <c r="BI50" s="557"/>
      <c r="BJ50" s="557"/>
      <c r="BK50" s="557"/>
      <c r="BL50" s="557"/>
      <c r="BM50" s="557"/>
      <c r="BN50" s="557"/>
      <c r="BO50" s="557"/>
      <c r="BP50" s="557"/>
      <c r="BQ50" s="557"/>
      <c r="BR50" s="557"/>
      <c r="BS50" s="557"/>
    </row>
    <row r="51" spans="1:71" ht="30.75" customHeight="1" thickBot="1">
      <c r="A51" s="6"/>
      <c r="B51" s="298" t="s">
        <v>386</v>
      </c>
      <c r="C51" s="298" t="s">
        <v>200</v>
      </c>
      <c r="D51" s="298" t="s">
        <v>203</v>
      </c>
      <c r="E51" s="1333"/>
      <c r="F51" s="1306" t="s">
        <v>603</v>
      </c>
      <c r="G51" s="1373" t="s">
        <v>239</v>
      </c>
      <c r="H51" s="32" t="s">
        <v>585</v>
      </c>
      <c r="I51" s="771">
        <v>278221</v>
      </c>
      <c r="J51" s="1104">
        <v>90000</v>
      </c>
      <c r="K51" s="867">
        <v>30000</v>
      </c>
      <c r="L51" s="867">
        <v>30000</v>
      </c>
      <c r="M51" s="867">
        <v>30000</v>
      </c>
      <c r="N51" s="87">
        <f t="shared" si="4"/>
        <v>90000</v>
      </c>
      <c r="O51" s="1079"/>
      <c r="P51" s="825">
        <v>29915</v>
      </c>
      <c r="Q51" s="1018">
        <f t="shared" si="14"/>
        <v>99.71666666666667</v>
      </c>
      <c r="R51" s="825">
        <v>28216</v>
      </c>
      <c r="S51" s="874">
        <f aca="true" t="shared" si="17" ref="S51:S57">+R51/L51*100</f>
        <v>94.05333333333333</v>
      </c>
      <c r="T51" s="825"/>
      <c r="U51" s="865">
        <f>+T51/M51*100</f>
        <v>0</v>
      </c>
      <c r="V51" s="662">
        <f t="shared" si="9"/>
        <v>58131</v>
      </c>
      <c r="W51" s="1239"/>
      <c r="X51" s="108"/>
      <c r="Y51" s="108"/>
      <c r="Z51" s="108"/>
      <c r="AA51" s="809">
        <f t="shared" si="13"/>
        <v>0</v>
      </c>
      <c r="AB51" s="438">
        <f>+AA51-O51</f>
        <v>0</v>
      </c>
      <c r="AC51" s="1094"/>
      <c r="AD51" s="772"/>
      <c r="AE51" s="1265">
        <v>0</v>
      </c>
      <c r="AF51" s="1253">
        <v>0</v>
      </c>
      <c r="AG51" s="891">
        <v>0</v>
      </c>
      <c r="AH51" s="765"/>
      <c r="AI51" s="608">
        <f t="shared" si="7"/>
        <v>0</v>
      </c>
      <c r="AJ51" s="1131" t="s">
        <v>611</v>
      </c>
      <c r="AK51" s="770"/>
      <c r="AL51" s="557"/>
      <c r="AM51" s="557"/>
      <c r="AN51" s="557"/>
      <c r="AO51" s="725">
        <f>+AA51-O51</f>
        <v>0</v>
      </c>
      <c r="AP51" s="557"/>
      <c r="AQ51" s="557"/>
      <c r="AR51" s="557"/>
      <c r="AS51" s="557"/>
      <c r="AT51" s="557"/>
      <c r="AU51" s="557"/>
      <c r="AV51" s="557"/>
      <c r="AW51" s="557"/>
      <c r="AX51" s="557"/>
      <c r="AY51" s="557"/>
      <c r="AZ51" s="557"/>
      <c r="BA51" s="557"/>
      <c r="BB51" s="557"/>
      <c r="BC51" s="557"/>
      <c r="BD51" s="557"/>
      <c r="BE51" s="557"/>
      <c r="BF51" s="557"/>
      <c r="BG51" s="557"/>
      <c r="BH51" s="557"/>
      <c r="BI51" s="557"/>
      <c r="BJ51" s="557"/>
      <c r="BK51" s="557"/>
      <c r="BL51" s="557"/>
      <c r="BM51" s="557"/>
      <c r="BN51" s="557"/>
      <c r="BO51" s="557"/>
      <c r="BP51" s="557"/>
      <c r="BQ51" s="557"/>
      <c r="BR51" s="557"/>
      <c r="BS51" s="557"/>
    </row>
    <row r="52" spans="1:71" ht="30.75" customHeight="1" thickBot="1">
      <c r="A52" s="6"/>
      <c r="B52" s="298" t="s">
        <v>386</v>
      </c>
      <c r="C52" s="298" t="s">
        <v>200</v>
      </c>
      <c r="D52" s="298" t="s">
        <v>203</v>
      </c>
      <c r="E52" s="1333"/>
      <c r="F52" s="1307"/>
      <c r="G52" s="1340"/>
      <c r="H52" s="668" t="s">
        <v>586</v>
      </c>
      <c r="I52" s="776">
        <v>197050</v>
      </c>
      <c r="J52" s="1105">
        <v>112500</v>
      </c>
      <c r="K52" s="868">
        <v>37500</v>
      </c>
      <c r="L52" s="868">
        <v>37500</v>
      </c>
      <c r="M52" s="868">
        <v>37500</v>
      </c>
      <c r="N52" s="87">
        <f t="shared" si="4"/>
        <v>112500</v>
      </c>
      <c r="O52" s="1080"/>
      <c r="P52" s="825">
        <v>36812</v>
      </c>
      <c r="Q52" s="1018">
        <f t="shared" si="14"/>
        <v>98.16533333333334</v>
      </c>
      <c r="R52" s="825">
        <v>37037</v>
      </c>
      <c r="S52" s="874">
        <f t="shared" si="17"/>
        <v>98.76533333333334</v>
      </c>
      <c r="T52" s="825"/>
      <c r="U52" s="865">
        <f>+T52/M52*100</f>
        <v>0</v>
      </c>
      <c r="V52" s="662">
        <f t="shared" si="9"/>
        <v>73849</v>
      </c>
      <c r="W52" s="1239"/>
      <c r="X52" s="108"/>
      <c r="Y52" s="108"/>
      <c r="Z52" s="108"/>
      <c r="AA52" s="809">
        <f t="shared" si="13"/>
        <v>0</v>
      </c>
      <c r="AB52" s="438">
        <f>+AA52-O52</f>
        <v>0</v>
      </c>
      <c r="AC52" s="1094"/>
      <c r="AD52" s="772"/>
      <c r="AE52" s="1266">
        <v>0</v>
      </c>
      <c r="AF52" s="1253">
        <v>0</v>
      </c>
      <c r="AG52" s="947">
        <v>0</v>
      </c>
      <c r="AH52" s="777"/>
      <c r="AI52" s="608">
        <f t="shared" si="7"/>
        <v>0</v>
      </c>
      <c r="AJ52" s="1131" t="s">
        <v>611</v>
      </c>
      <c r="AK52" s="770"/>
      <c r="AL52" s="557"/>
      <c r="AM52" s="557"/>
      <c r="AN52" s="557"/>
      <c r="AO52" s="725">
        <f>+AA52-O52</f>
        <v>0</v>
      </c>
      <c r="AP52" s="557"/>
      <c r="AQ52" s="557"/>
      <c r="AR52" s="557"/>
      <c r="AS52" s="557"/>
      <c r="AT52" s="557"/>
      <c r="AU52" s="557"/>
      <c r="AV52" s="557"/>
      <c r="AW52" s="557"/>
      <c r="AX52" s="557"/>
      <c r="AY52" s="557"/>
      <c r="AZ52" s="557"/>
      <c r="BA52" s="557"/>
      <c r="BB52" s="557"/>
      <c r="BC52" s="557"/>
      <c r="BD52" s="557"/>
      <c r="BE52" s="557"/>
      <c r="BF52" s="557"/>
      <c r="BG52" s="557"/>
      <c r="BH52" s="557"/>
      <c r="BI52" s="557"/>
      <c r="BJ52" s="557"/>
      <c r="BK52" s="557"/>
      <c r="BL52" s="557"/>
      <c r="BM52" s="557"/>
      <c r="BN52" s="557"/>
      <c r="BO52" s="557"/>
      <c r="BP52" s="557"/>
      <c r="BQ52" s="557"/>
      <c r="BR52" s="557"/>
      <c r="BS52" s="557"/>
    </row>
    <row r="53" spans="1:71" ht="30.75" customHeight="1" thickBot="1" thickTop="1">
      <c r="A53" s="6"/>
      <c r="B53" s="298"/>
      <c r="C53" s="298"/>
      <c r="D53" s="298"/>
      <c r="E53" s="1333"/>
      <c r="F53" s="1372"/>
      <c r="G53" s="1374"/>
      <c r="H53" s="668" t="s">
        <v>587</v>
      </c>
      <c r="I53" s="776">
        <v>0</v>
      </c>
      <c r="J53" s="1105">
        <v>158000</v>
      </c>
      <c r="K53" s="868">
        <v>53000</v>
      </c>
      <c r="L53" s="868">
        <v>53000</v>
      </c>
      <c r="M53" s="790">
        <v>52000</v>
      </c>
      <c r="N53" s="87">
        <f t="shared" si="4"/>
        <v>158000</v>
      </c>
      <c r="O53" s="1081"/>
      <c r="P53" s="825">
        <v>52781</v>
      </c>
      <c r="Q53" s="1018">
        <f t="shared" si="14"/>
        <v>99.58679245283018</v>
      </c>
      <c r="R53" s="825">
        <v>58084</v>
      </c>
      <c r="S53" s="874">
        <f t="shared" si="17"/>
        <v>109.59245283018868</v>
      </c>
      <c r="T53" s="825"/>
      <c r="U53" s="865"/>
      <c r="V53" s="662">
        <f t="shared" si="9"/>
        <v>110865</v>
      </c>
      <c r="W53" s="1240"/>
      <c r="X53" s="108"/>
      <c r="Y53" s="108"/>
      <c r="Z53" s="108"/>
      <c r="AA53" s="809">
        <f t="shared" si="13"/>
        <v>0</v>
      </c>
      <c r="AB53" s="438"/>
      <c r="AC53" s="1094"/>
      <c r="AD53" s="772"/>
      <c r="AE53" s="1266">
        <v>0</v>
      </c>
      <c r="AF53" s="1253">
        <v>0</v>
      </c>
      <c r="AG53" s="947"/>
      <c r="AH53" s="777"/>
      <c r="AI53" s="608">
        <f t="shared" si="7"/>
        <v>0</v>
      </c>
      <c r="AJ53" s="1131" t="s">
        <v>611</v>
      </c>
      <c r="AK53" s="770"/>
      <c r="AL53" s="557"/>
      <c r="AM53" s="557"/>
      <c r="AN53" s="557"/>
      <c r="AO53" s="725"/>
      <c r="AP53" s="557"/>
      <c r="AQ53" s="557"/>
      <c r="AR53" s="557"/>
      <c r="AS53" s="557"/>
      <c r="AT53" s="557"/>
      <c r="AU53" s="557"/>
      <c r="AV53" s="557"/>
      <c r="AW53" s="557"/>
      <c r="AX53" s="557"/>
      <c r="AY53" s="557"/>
      <c r="AZ53" s="557"/>
      <c r="BA53" s="557"/>
      <c r="BB53" s="557"/>
      <c r="BC53" s="557"/>
      <c r="BD53" s="557"/>
      <c r="BE53" s="557"/>
      <c r="BF53" s="557"/>
      <c r="BG53" s="557"/>
      <c r="BH53" s="557"/>
      <c r="BI53" s="557"/>
      <c r="BJ53" s="557"/>
      <c r="BK53" s="557"/>
      <c r="BL53" s="557"/>
      <c r="BM53" s="557"/>
      <c r="BN53" s="557"/>
      <c r="BO53" s="557"/>
      <c r="BP53" s="557"/>
      <c r="BQ53" s="557"/>
      <c r="BR53" s="557"/>
      <c r="BS53" s="557"/>
    </row>
    <row r="54" spans="1:71" ht="41.25" customHeight="1" thickBot="1" thickTop="1">
      <c r="A54" s="6"/>
      <c r="B54" s="298" t="s">
        <v>386</v>
      </c>
      <c r="C54" s="298" t="s">
        <v>200</v>
      </c>
      <c r="D54" s="298" t="s">
        <v>203</v>
      </c>
      <c r="E54" s="1333"/>
      <c r="F54" s="918" t="s">
        <v>514</v>
      </c>
      <c r="G54" s="627" t="s">
        <v>515</v>
      </c>
      <c r="H54" s="32" t="s">
        <v>558</v>
      </c>
      <c r="I54" s="771">
        <v>30500</v>
      </c>
      <c r="J54" s="1105">
        <v>31500</v>
      </c>
      <c r="K54" s="855">
        <f>+J54/3</f>
        <v>10500</v>
      </c>
      <c r="L54" s="855">
        <v>10500</v>
      </c>
      <c r="M54" s="855">
        <v>10500</v>
      </c>
      <c r="N54" s="87">
        <f t="shared" si="4"/>
        <v>31500</v>
      </c>
      <c r="O54" s="1070"/>
      <c r="P54" s="825">
        <v>7713</v>
      </c>
      <c r="Q54" s="1018">
        <f t="shared" si="14"/>
        <v>73.45714285714286</v>
      </c>
      <c r="R54" s="635">
        <v>9976</v>
      </c>
      <c r="S54" s="874">
        <f t="shared" si="17"/>
        <v>95.00952380952381</v>
      </c>
      <c r="T54" s="825"/>
      <c r="U54" s="865">
        <f>+T54/M54*100</f>
        <v>0</v>
      </c>
      <c r="V54" s="662">
        <f t="shared" si="9"/>
        <v>17689</v>
      </c>
      <c r="W54" s="1241" t="s">
        <v>550</v>
      </c>
      <c r="X54" s="108"/>
      <c r="Y54" s="108"/>
      <c r="Z54" s="108"/>
      <c r="AA54" s="809">
        <f t="shared" si="13"/>
        <v>0</v>
      </c>
      <c r="AB54" s="438">
        <f>+AA54-O54</f>
        <v>0</v>
      </c>
      <c r="AC54" s="1094"/>
      <c r="AD54" s="772"/>
      <c r="AE54" s="1266">
        <v>0</v>
      </c>
      <c r="AF54" s="1253">
        <v>0</v>
      </c>
      <c r="AG54" s="948"/>
      <c r="AH54" s="765"/>
      <c r="AI54" s="608">
        <f t="shared" si="7"/>
        <v>0</v>
      </c>
      <c r="AJ54" s="1131" t="s">
        <v>611</v>
      </c>
      <c r="AK54" s="770"/>
      <c r="AL54" s="557"/>
      <c r="AM54" s="557"/>
      <c r="AN54" s="557"/>
      <c r="AO54" s="725">
        <f>+AA54-O54</f>
        <v>0</v>
      </c>
      <c r="AP54" s="557"/>
      <c r="AQ54" s="557"/>
      <c r="AR54" s="557"/>
      <c r="AS54" s="557"/>
      <c r="AT54" s="557"/>
      <c r="AU54" s="557"/>
      <c r="AV54" s="557"/>
      <c r="AW54" s="557"/>
      <c r="AX54" s="557"/>
      <c r="AY54" s="557"/>
      <c r="AZ54" s="557"/>
      <c r="BA54" s="557"/>
      <c r="BB54" s="557"/>
      <c r="BC54" s="557"/>
      <c r="BD54" s="557"/>
      <c r="BE54" s="557"/>
      <c r="BF54" s="557"/>
      <c r="BG54" s="557"/>
      <c r="BH54" s="557"/>
      <c r="BI54" s="557"/>
      <c r="BJ54" s="557"/>
      <c r="BK54" s="557"/>
      <c r="BL54" s="557"/>
      <c r="BM54" s="557"/>
      <c r="BN54" s="557"/>
      <c r="BO54" s="557"/>
      <c r="BP54" s="557"/>
      <c r="BQ54" s="557"/>
      <c r="BR54" s="557"/>
      <c r="BS54" s="557"/>
    </row>
    <row r="55" spans="1:71" ht="31.5" customHeight="1" thickBot="1" thickTop="1">
      <c r="A55" s="857"/>
      <c r="B55" s="1008" t="s">
        <v>386</v>
      </c>
      <c r="C55" s="1008" t="s">
        <v>200</v>
      </c>
      <c r="D55" s="1008" t="s">
        <v>203</v>
      </c>
      <c r="E55" s="1333"/>
      <c r="F55" s="995"/>
      <c r="G55" s="1009" t="s">
        <v>516</v>
      </c>
      <c r="H55" s="668" t="s">
        <v>559</v>
      </c>
      <c r="I55" s="776">
        <v>56000</v>
      </c>
      <c r="J55" s="1105">
        <v>56000</v>
      </c>
      <c r="K55" s="867">
        <v>18600</v>
      </c>
      <c r="L55" s="867">
        <v>18800</v>
      </c>
      <c r="M55" s="867">
        <v>18600</v>
      </c>
      <c r="N55" s="87">
        <f t="shared" si="4"/>
        <v>56000</v>
      </c>
      <c r="O55" s="1082"/>
      <c r="P55" s="825">
        <v>14665</v>
      </c>
      <c r="Q55" s="1018">
        <f t="shared" si="14"/>
        <v>78.84408602150538</v>
      </c>
      <c r="R55" s="1155">
        <v>19054</v>
      </c>
      <c r="S55" s="874">
        <f t="shared" si="17"/>
        <v>101.35106382978722</v>
      </c>
      <c r="T55" s="825"/>
      <c r="U55" s="865">
        <f>+T55/M55*100</f>
        <v>0</v>
      </c>
      <c r="V55" s="662">
        <f t="shared" si="9"/>
        <v>33719</v>
      </c>
      <c r="W55" s="1242"/>
      <c r="X55" s="108"/>
      <c r="Y55" s="108"/>
      <c r="Z55" s="108"/>
      <c r="AA55" s="809">
        <f t="shared" si="13"/>
        <v>0</v>
      </c>
      <c r="AB55" s="438">
        <f>+AA55-O55</f>
        <v>0</v>
      </c>
      <c r="AC55" s="1094"/>
      <c r="AD55" s="772"/>
      <c r="AE55" s="1266">
        <v>0</v>
      </c>
      <c r="AF55" s="1253">
        <v>0</v>
      </c>
      <c r="AG55" s="947"/>
      <c r="AH55" s="777"/>
      <c r="AI55" s="608">
        <f t="shared" si="7"/>
        <v>0</v>
      </c>
      <c r="AJ55" s="1131" t="s">
        <v>611</v>
      </c>
      <c r="AK55" s="770"/>
      <c r="AL55" s="557"/>
      <c r="AM55" s="557"/>
      <c r="AN55" s="557"/>
      <c r="AO55" s="725">
        <f>+AA55-O55</f>
        <v>0</v>
      </c>
      <c r="AP55" s="557"/>
      <c r="AQ55" s="557"/>
      <c r="AR55" s="557"/>
      <c r="AS55" s="557"/>
      <c r="AT55" s="557"/>
      <c r="AU55" s="557"/>
      <c r="AV55" s="557"/>
      <c r="AW55" s="557"/>
      <c r="AX55" s="557"/>
      <c r="AY55" s="557"/>
      <c r="AZ55" s="557"/>
      <c r="BA55" s="557"/>
      <c r="BB55" s="557"/>
      <c r="BC55" s="557"/>
      <c r="BD55" s="557"/>
      <c r="BE55" s="557"/>
      <c r="BF55" s="557"/>
      <c r="BG55" s="557"/>
      <c r="BH55" s="557"/>
      <c r="BI55" s="557"/>
      <c r="BJ55" s="557"/>
      <c r="BK55" s="557"/>
      <c r="BL55" s="557"/>
      <c r="BM55" s="557"/>
      <c r="BN55" s="557"/>
      <c r="BO55" s="557"/>
      <c r="BP55" s="557"/>
      <c r="BQ55" s="557"/>
      <c r="BR55" s="557"/>
      <c r="BS55" s="557"/>
    </row>
    <row r="56" spans="1:71" ht="31.5" customHeight="1" thickBot="1">
      <c r="A56" s="6"/>
      <c r="B56" s="298"/>
      <c r="C56" s="298"/>
      <c r="D56" s="298"/>
      <c r="E56" s="1333"/>
      <c r="F56" s="34" t="s">
        <v>589</v>
      </c>
      <c r="G56" s="627" t="s">
        <v>590</v>
      </c>
      <c r="H56" s="32" t="s">
        <v>591</v>
      </c>
      <c r="I56" s="771">
        <v>0</v>
      </c>
      <c r="J56" s="1104">
        <v>216800</v>
      </c>
      <c r="K56" s="855">
        <v>72200</v>
      </c>
      <c r="L56" s="855">
        <v>72300</v>
      </c>
      <c r="M56" s="855">
        <v>72300</v>
      </c>
      <c r="N56" s="87">
        <f t="shared" si="4"/>
        <v>216800</v>
      </c>
      <c r="O56" s="1083"/>
      <c r="P56" s="1269">
        <v>72292</v>
      </c>
      <c r="Q56" s="1020">
        <f t="shared" si="14"/>
        <v>100.12742382271469</v>
      </c>
      <c r="R56" s="825">
        <v>152413</v>
      </c>
      <c r="S56" s="1021">
        <f t="shared" si="17"/>
        <v>210.80636237897647</v>
      </c>
      <c r="T56" s="825"/>
      <c r="U56" s="1022">
        <f>+T56/M56*100</f>
        <v>0</v>
      </c>
      <c r="V56" s="662">
        <f t="shared" si="9"/>
        <v>224705</v>
      </c>
      <c r="W56" s="1023"/>
      <c r="X56" s="108"/>
      <c r="Y56" s="108"/>
      <c r="Z56" s="108"/>
      <c r="AA56" s="809">
        <f t="shared" si="13"/>
        <v>0</v>
      </c>
      <c r="AB56" s="750"/>
      <c r="AC56" s="1094"/>
      <c r="AD56" s="772"/>
      <c r="AE56" s="1266">
        <v>0</v>
      </c>
      <c r="AF56" s="1253">
        <v>0</v>
      </c>
      <c r="AG56" s="947"/>
      <c r="AH56" s="789"/>
      <c r="AI56" s="608">
        <f t="shared" si="7"/>
        <v>0</v>
      </c>
      <c r="AJ56" s="629" t="s">
        <v>612</v>
      </c>
      <c r="AK56" s="770"/>
      <c r="AL56" s="557"/>
      <c r="AM56" s="557"/>
      <c r="AN56" s="557"/>
      <c r="AO56" s="725"/>
      <c r="AP56" s="557"/>
      <c r="AQ56" s="557"/>
      <c r="AR56" s="557"/>
      <c r="AS56" s="557"/>
      <c r="AT56" s="557"/>
      <c r="AU56" s="557"/>
      <c r="AV56" s="557"/>
      <c r="AW56" s="557"/>
      <c r="AX56" s="557"/>
      <c r="AY56" s="557"/>
      <c r="AZ56" s="557"/>
      <c r="BA56" s="557"/>
      <c r="BB56" s="557"/>
      <c r="BC56" s="557"/>
      <c r="BD56" s="557"/>
      <c r="BE56" s="557"/>
      <c r="BF56" s="557"/>
      <c r="BG56" s="557"/>
      <c r="BH56" s="557"/>
      <c r="BI56" s="557"/>
      <c r="BJ56" s="557"/>
      <c r="BK56" s="557"/>
      <c r="BL56" s="557"/>
      <c r="BM56" s="557"/>
      <c r="BN56" s="557"/>
      <c r="BO56" s="557"/>
      <c r="BP56" s="557"/>
      <c r="BQ56" s="557"/>
      <c r="BR56" s="557"/>
      <c r="BS56" s="557"/>
    </row>
    <row r="57" spans="1:71" ht="31.5" customHeight="1" thickBot="1">
      <c r="A57" s="6"/>
      <c r="B57" s="298"/>
      <c r="C57" s="298"/>
      <c r="D57" s="298"/>
      <c r="E57" s="1334"/>
      <c r="F57" s="34" t="s">
        <v>592</v>
      </c>
      <c r="G57" s="627" t="s">
        <v>593</v>
      </c>
      <c r="H57" s="32" t="s">
        <v>594</v>
      </c>
      <c r="I57" s="771">
        <v>0</v>
      </c>
      <c r="J57" s="1104">
        <v>260000</v>
      </c>
      <c r="K57" s="855">
        <v>86550</v>
      </c>
      <c r="L57" s="855">
        <v>86950</v>
      </c>
      <c r="M57" s="855">
        <v>86500</v>
      </c>
      <c r="N57" s="87">
        <f t="shared" si="4"/>
        <v>260000</v>
      </c>
      <c r="O57" s="1083"/>
      <c r="P57" s="1269">
        <v>87146</v>
      </c>
      <c r="Q57" s="1020">
        <f t="shared" si="14"/>
        <v>100.68861929520507</v>
      </c>
      <c r="R57" s="825">
        <v>72341</v>
      </c>
      <c r="S57" s="1021">
        <f t="shared" si="17"/>
        <v>83.19838987924093</v>
      </c>
      <c r="T57" s="825"/>
      <c r="U57" s="1022"/>
      <c r="V57" s="662">
        <f t="shared" si="9"/>
        <v>159487</v>
      </c>
      <c r="W57" s="1023"/>
      <c r="X57" s="108"/>
      <c r="Y57" s="108"/>
      <c r="Z57" s="108"/>
      <c r="AA57" s="809">
        <f t="shared" si="13"/>
        <v>0</v>
      </c>
      <c r="AB57" s="750"/>
      <c r="AC57" s="1094"/>
      <c r="AD57" s="772"/>
      <c r="AE57" s="1266">
        <v>0</v>
      </c>
      <c r="AF57" s="1253">
        <v>0</v>
      </c>
      <c r="AG57" s="947"/>
      <c r="AH57" s="789"/>
      <c r="AI57" s="608">
        <f t="shared" si="7"/>
        <v>0</v>
      </c>
      <c r="AJ57" s="1131" t="s">
        <v>611</v>
      </c>
      <c r="AK57" s="770"/>
      <c r="AL57" s="557"/>
      <c r="AM57" s="557"/>
      <c r="AN57" s="557"/>
      <c r="AO57" s="725"/>
      <c r="AP57" s="557"/>
      <c r="AQ57" s="557"/>
      <c r="AR57" s="557"/>
      <c r="AS57" s="557"/>
      <c r="AT57" s="557"/>
      <c r="AU57" s="557"/>
      <c r="AV57" s="557"/>
      <c r="AW57" s="557"/>
      <c r="AX57" s="557"/>
      <c r="AY57" s="557"/>
      <c r="AZ57" s="557"/>
      <c r="BA57" s="557"/>
      <c r="BB57" s="557"/>
      <c r="BC57" s="557"/>
      <c r="BD57" s="557"/>
      <c r="BE57" s="557"/>
      <c r="BF57" s="557"/>
      <c r="BG57" s="557"/>
      <c r="BH57" s="557"/>
      <c r="BI57" s="557"/>
      <c r="BJ57" s="557"/>
      <c r="BK57" s="557"/>
      <c r="BL57" s="557"/>
      <c r="BM57" s="557"/>
      <c r="BN57" s="557"/>
      <c r="BO57" s="557"/>
      <c r="BP57" s="557"/>
      <c r="BQ57" s="557"/>
      <c r="BR57" s="557"/>
      <c r="BS57" s="557"/>
    </row>
    <row r="58" spans="2:42" s="12" customFormat="1" ht="18.75" customHeight="1" thickBot="1">
      <c r="B58" s="190"/>
      <c r="C58" s="190"/>
      <c r="D58" s="190"/>
      <c r="E58" s="849"/>
      <c r="F58" s="34"/>
      <c r="G58" s="35"/>
      <c r="H58" s="34"/>
      <c r="I58" s="1028"/>
      <c r="J58" s="1106">
        <f>SUM(J23:J57)</f>
        <v>2294760</v>
      </c>
      <c r="K58" s="1029">
        <f>SUM(K23:K57)</f>
        <v>757095</v>
      </c>
      <c r="L58" s="1029">
        <f>SUM(L23:L57)</f>
        <v>768886</v>
      </c>
      <c r="M58" s="1029">
        <f>SUM(M23:M57)</f>
        <v>768803</v>
      </c>
      <c r="N58" s="1029">
        <f>SUM(N23:N57)</f>
        <v>2294784</v>
      </c>
      <c r="O58" s="1084">
        <f>SUM(O29:O57)</f>
        <v>29190215</v>
      </c>
      <c r="P58" s="819">
        <f>SUM(P23:P57)</f>
        <v>749677</v>
      </c>
      <c r="Q58" s="858"/>
      <c r="R58" s="819">
        <f>SUM(R23:R57)</f>
        <v>832441</v>
      </c>
      <c r="S58" s="875"/>
      <c r="T58" s="819">
        <f>SUM(T23:T56)</f>
        <v>0</v>
      </c>
      <c r="U58" s="859"/>
      <c r="V58" s="819">
        <f>SUM(V23:V57)</f>
        <v>1582118</v>
      </c>
      <c r="W58" s="819"/>
      <c r="X58" s="1084">
        <f>SUM(X29:X57)</f>
        <v>10514384.333333332</v>
      </c>
      <c r="Y58" s="1084">
        <f>SUM(Y29:Y57)</f>
        <v>9830384.333333332</v>
      </c>
      <c r="Z58" s="1084">
        <f>SUM(Z29:Z57)</f>
        <v>8845446.333333334</v>
      </c>
      <c r="AA58" s="1084">
        <f>SUM(AA29:AA57)</f>
        <v>29190215</v>
      </c>
      <c r="AB58" s="862" t="e">
        <f>SUM(AB23:AB55)</f>
        <v>#REF!</v>
      </c>
      <c r="AC58" s="1084">
        <f>SUM(AC23:AC57)</f>
        <v>10499275.35</v>
      </c>
      <c r="AD58" s="1128"/>
      <c r="AE58" s="1084">
        <f>SUM(AE23:AE57)</f>
        <v>8950210.459999997</v>
      </c>
      <c r="AF58" s="1267">
        <f>+AE58/Y58</f>
        <v>0.9104639408299836</v>
      </c>
      <c r="AG58" s="1084">
        <f>SUM(AG29:AG57)</f>
        <v>7340641.61</v>
      </c>
      <c r="AH58" s="1084" t="e">
        <f>SUM(AH29:AH57)</f>
        <v>#REF!</v>
      </c>
      <c r="AI58" s="1128">
        <f>SUM(AI23:AI57)</f>
        <v>19449485.81</v>
      </c>
      <c r="AJ58" s="1130">
        <f>+AC58-AI58</f>
        <v>-8950210.459999999</v>
      </c>
      <c r="AK58" s="860"/>
      <c r="AO58" s="861">
        <f>+O58-AA58</f>
        <v>0</v>
      </c>
      <c r="AP58" s="861"/>
    </row>
    <row r="59" spans="2:41" ht="7.5" customHeight="1" thickBot="1">
      <c r="B59" s="716"/>
      <c r="C59" s="1024"/>
      <c r="D59" s="1024"/>
      <c r="E59" s="1025"/>
      <c r="F59" s="1026"/>
      <c r="G59" s="931"/>
      <c r="H59" s="931"/>
      <c r="I59" s="931"/>
      <c r="J59" s="1027"/>
      <c r="K59" s="1027"/>
      <c r="L59" s="1027"/>
      <c r="M59" s="1027"/>
      <c r="N59" s="689"/>
      <c r="O59" s="1073"/>
      <c r="P59" s="689"/>
      <c r="Q59" s="689"/>
      <c r="R59" s="689"/>
      <c r="S59" s="871"/>
      <c r="T59" s="689"/>
      <c r="U59" s="689"/>
      <c r="V59" s="689"/>
      <c r="W59" s="817"/>
      <c r="X59" s="689"/>
      <c r="Y59" s="689"/>
      <c r="Z59" s="689"/>
      <c r="AA59" s="803"/>
      <c r="AB59" s="689"/>
      <c r="AC59" s="890"/>
      <c r="AD59" s="689"/>
      <c r="AE59" s="817"/>
      <c r="AF59" s="1245"/>
      <c r="AG59" s="890"/>
      <c r="AH59" s="689"/>
      <c r="AI59" s="689"/>
      <c r="AJ59" s="689"/>
      <c r="AK59" s="690"/>
      <c r="AO59" s="725">
        <f>+AA59-O59</f>
        <v>0</v>
      </c>
    </row>
    <row r="60" spans="1:41" ht="23.25" customHeight="1" thickBot="1">
      <c r="A60" s="4">
        <v>3</v>
      </c>
      <c r="B60" s="1313" t="s">
        <v>398</v>
      </c>
      <c r="C60" s="1314"/>
      <c r="D60" s="1314"/>
      <c r="E60" s="1314"/>
      <c r="F60" s="1314"/>
      <c r="G60" s="1314"/>
      <c r="H60" s="1314"/>
      <c r="I60" s="1314"/>
      <c r="J60" s="1314"/>
      <c r="K60" s="818"/>
      <c r="L60" s="818"/>
      <c r="M60" s="818"/>
      <c r="N60" s="679"/>
      <c r="O60" s="1074"/>
      <c r="P60" s="679"/>
      <c r="Q60" s="679"/>
      <c r="R60" s="679"/>
      <c r="S60" s="872"/>
      <c r="T60" s="679"/>
      <c r="U60" s="679"/>
      <c r="V60" s="679"/>
      <c r="W60" s="198"/>
      <c r="X60" s="679"/>
      <c r="Y60" s="679"/>
      <c r="Z60" s="679"/>
      <c r="AA60" s="679"/>
      <c r="AB60" s="679"/>
      <c r="AC60" s="895"/>
      <c r="AD60" s="679"/>
      <c r="AE60" s="1268">
        <f>8901957.55-AE58</f>
        <v>-48252.909999996424</v>
      </c>
      <c r="AF60" s="818"/>
      <c r="AG60" s="895"/>
      <c r="AH60" s="679"/>
      <c r="AI60" s="679"/>
      <c r="AJ60" s="679"/>
      <c r="AK60" s="684"/>
      <c r="AO60" s="725">
        <f>+AA60-O60</f>
        <v>0</v>
      </c>
    </row>
    <row r="61" spans="2:41" ht="47.25" customHeight="1" thickBot="1">
      <c r="B61" s="745"/>
      <c r="C61" s="746"/>
      <c r="D61" s="746"/>
      <c r="E61" s="747"/>
      <c r="F61" s="697" t="s">
        <v>517</v>
      </c>
      <c r="G61" s="1014"/>
      <c r="H61" s="1013"/>
      <c r="I61" s="1012"/>
      <c r="J61" s="1107">
        <v>0.95</v>
      </c>
      <c r="K61" s="696">
        <v>0.95</v>
      </c>
      <c r="L61" s="696">
        <v>0.95</v>
      </c>
      <c r="M61" s="696">
        <v>0.95</v>
      </c>
      <c r="N61" s="696">
        <v>0.95</v>
      </c>
      <c r="O61" s="1075"/>
      <c r="P61" s="665">
        <v>0</v>
      </c>
      <c r="Q61" s="196">
        <f>+P61/L61</f>
        <v>0</v>
      </c>
      <c r="R61" s="825">
        <v>0</v>
      </c>
      <c r="S61" s="876">
        <f>+R61/L61*100</f>
        <v>0</v>
      </c>
      <c r="T61" s="825">
        <v>0</v>
      </c>
      <c r="U61" s="876">
        <v>0</v>
      </c>
      <c r="V61" s="662">
        <v>0</v>
      </c>
      <c r="W61" s="198"/>
      <c r="X61" s="625"/>
      <c r="Y61" s="625"/>
      <c r="Z61" s="625"/>
      <c r="AA61" s="805"/>
      <c r="AB61" s="625"/>
      <c r="AC61" s="896"/>
      <c r="AD61" s="625"/>
      <c r="AE61" s="166"/>
      <c r="AF61" s="166"/>
      <c r="AG61" s="896"/>
      <c r="AH61" s="625"/>
      <c r="AI61" s="625"/>
      <c r="AJ61" s="166" t="s">
        <v>613</v>
      </c>
      <c r="AK61" s="626"/>
      <c r="AO61" s="725">
        <f>+AA61-O61</f>
        <v>0</v>
      </c>
    </row>
    <row r="62" spans="2:41" ht="18" customHeight="1" thickBot="1" thickTop="1">
      <c r="B62" s="736"/>
      <c r="C62" s="737"/>
      <c r="D62" s="737"/>
      <c r="E62" s="738"/>
      <c r="F62" s="739"/>
      <c r="G62" s="740"/>
      <c r="H62" s="741"/>
      <c r="I62" s="742"/>
      <c r="J62" s="1108"/>
      <c r="K62" s="914"/>
      <c r="L62" s="914"/>
      <c r="M62" s="914"/>
      <c r="N62" s="819"/>
      <c r="O62" s="1084">
        <f>SUM(O61:O61)</f>
        <v>0</v>
      </c>
      <c r="P62" s="680"/>
      <c r="Q62" s="680"/>
      <c r="R62" s="681"/>
      <c r="S62" s="870"/>
      <c r="T62" s="681"/>
      <c r="U62" s="681"/>
      <c r="V62" s="656"/>
      <c r="W62" s="198"/>
      <c r="X62" s="656"/>
      <c r="Y62" s="656"/>
      <c r="Z62" s="656"/>
      <c r="AA62" s="806"/>
      <c r="AB62" s="656"/>
      <c r="AC62" s="886"/>
      <c r="AD62" s="656"/>
      <c r="AE62" s="691"/>
      <c r="AF62" s="691"/>
      <c r="AG62" s="886"/>
      <c r="AH62" s="656"/>
      <c r="AI62" s="656"/>
      <c r="AJ62" s="691"/>
      <c r="AK62" s="692"/>
      <c r="AO62" s="725"/>
    </row>
    <row r="63" spans="2:41" ht="7.5" customHeight="1" thickBot="1">
      <c r="B63" s="685"/>
      <c r="C63" s="686"/>
      <c r="D63" s="686"/>
      <c r="E63" s="687"/>
      <c r="F63" s="688"/>
      <c r="G63" s="689"/>
      <c r="H63" s="689"/>
      <c r="I63" s="689"/>
      <c r="J63" s="817"/>
      <c r="K63" s="817"/>
      <c r="L63" s="817"/>
      <c r="M63" s="817"/>
      <c r="N63" s="689"/>
      <c r="O63" s="1073"/>
      <c r="P63" s="689"/>
      <c r="Q63" s="689"/>
      <c r="R63" s="689"/>
      <c r="S63" s="871"/>
      <c r="T63" s="689"/>
      <c r="U63" s="689"/>
      <c r="V63" s="689"/>
      <c r="W63" s="198"/>
      <c r="X63" s="689"/>
      <c r="Y63" s="689"/>
      <c r="Z63" s="689"/>
      <c r="AA63" s="803"/>
      <c r="AB63" s="689"/>
      <c r="AC63" s="890"/>
      <c r="AD63" s="689"/>
      <c r="AE63" s="817"/>
      <c r="AF63" s="1245"/>
      <c r="AG63" s="890"/>
      <c r="AH63" s="689"/>
      <c r="AI63" s="689"/>
      <c r="AJ63" s="689"/>
      <c r="AK63" s="690"/>
      <c r="AO63" s="725">
        <f aca="true" t="shared" si="18" ref="AO63:AO74">+AA63-O63</f>
        <v>0</v>
      </c>
    </row>
    <row r="64" spans="2:41" ht="23.25" customHeight="1" thickBot="1">
      <c r="B64" s="1315" t="s">
        <v>399</v>
      </c>
      <c r="C64" s="1316"/>
      <c r="D64" s="1316"/>
      <c r="E64" s="1316"/>
      <c r="F64" s="1316"/>
      <c r="G64" s="1316"/>
      <c r="H64" s="1316"/>
      <c r="I64" s="1316"/>
      <c r="J64" s="1316"/>
      <c r="K64" s="815"/>
      <c r="L64" s="815"/>
      <c r="M64" s="815"/>
      <c r="N64" s="676"/>
      <c r="O64" s="1085"/>
      <c r="P64" s="676"/>
      <c r="Q64" s="676"/>
      <c r="R64" s="676"/>
      <c r="S64" s="877"/>
      <c r="T64" s="676"/>
      <c r="U64" s="676"/>
      <c r="V64" s="676"/>
      <c r="W64" s="198"/>
      <c r="X64" s="676"/>
      <c r="Y64" s="676"/>
      <c r="Z64" s="676"/>
      <c r="AA64" s="676"/>
      <c r="AB64" s="676"/>
      <c r="AC64" s="885"/>
      <c r="AD64" s="676"/>
      <c r="AE64" s="815"/>
      <c r="AF64" s="815"/>
      <c r="AG64" s="885"/>
      <c r="AH64" s="676"/>
      <c r="AI64" s="676"/>
      <c r="AJ64" s="676"/>
      <c r="AK64" s="677"/>
      <c r="AO64" s="725">
        <f t="shared" si="18"/>
        <v>0</v>
      </c>
    </row>
    <row r="65" spans="2:41" ht="23.25" customHeight="1">
      <c r="B65" s="1044"/>
      <c r="C65" s="1045"/>
      <c r="D65" s="1045"/>
      <c r="E65" s="1045"/>
      <c r="F65" s="1045"/>
      <c r="G65" s="1045"/>
      <c r="H65" s="1045"/>
      <c r="I65" s="1045"/>
      <c r="J65" s="1045"/>
      <c r="K65" s="691"/>
      <c r="L65" s="691"/>
      <c r="M65" s="691"/>
      <c r="N65" s="656"/>
      <c r="O65" s="1075"/>
      <c r="P65" s="656"/>
      <c r="Q65" s="656"/>
      <c r="R65" s="656"/>
      <c r="S65" s="873"/>
      <c r="T65" s="656"/>
      <c r="U65" s="656"/>
      <c r="V65" s="656"/>
      <c r="W65" s="198"/>
      <c r="X65" s="656"/>
      <c r="Y65" s="656"/>
      <c r="Z65" s="656"/>
      <c r="AA65" s="656"/>
      <c r="AB65" s="656"/>
      <c r="AC65" s="886"/>
      <c r="AD65" s="656"/>
      <c r="AE65" s="691"/>
      <c r="AF65" s="691"/>
      <c r="AG65" s="886"/>
      <c r="AH65" s="656"/>
      <c r="AI65" s="656"/>
      <c r="AJ65" s="656"/>
      <c r="AK65" s="656"/>
      <c r="AO65" s="725">
        <f t="shared" si="18"/>
        <v>0</v>
      </c>
    </row>
    <row r="66" spans="2:41" ht="42" customHeight="1" thickBot="1">
      <c r="B66" s="56"/>
      <c r="C66" s="119"/>
      <c r="D66" s="119"/>
      <c r="E66" s="999" t="s">
        <v>391</v>
      </c>
      <c r="F66" s="697" t="s">
        <v>479</v>
      </c>
      <c r="G66" s="1014" t="s">
        <v>519</v>
      </c>
      <c r="H66" s="697" t="s">
        <v>450</v>
      </c>
      <c r="I66" s="723">
        <v>0.4</v>
      </c>
      <c r="J66" s="1109">
        <v>0.2</v>
      </c>
      <c r="K66" s="724">
        <v>0.2</v>
      </c>
      <c r="L66" s="724">
        <v>0</v>
      </c>
      <c r="M66" s="724">
        <v>0.2</v>
      </c>
      <c r="N66" s="1037">
        <v>0.2</v>
      </c>
      <c r="O66" s="1086">
        <v>0</v>
      </c>
      <c r="P66" s="825">
        <v>0</v>
      </c>
      <c r="Q66" s="196">
        <f>+P66/K66*100</f>
        <v>0</v>
      </c>
      <c r="R66" s="825">
        <v>0</v>
      </c>
      <c r="S66" s="876">
        <v>0</v>
      </c>
      <c r="T66" s="825">
        <v>0</v>
      </c>
      <c r="U66" s="197">
        <f aca="true" t="shared" si="19" ref="U66:U74">+T66/M66*100</f>
        <v>0</v>
      </c>
      <c r="V66" s="662">
        <f>(+U66+S66+Q66)/3</f>
        <v>0</v>
      </c>
      <c r="W66" s="198"/>
      <c r="X66" s="625"/>
      <c r="Y66" s="625"/>
      <c r="Z66" s="625"/>
      <c r="AA66" s="805"/>
      <c r="AB66" s="625"/>
      <c r="AC66" s="896"/>
      <c r="AD66" s="625"/>
      <c r="AE66" s="166"/>
      <c r="AF66" s="166"/>
      <c r="AG66" s="896"/>
      <c r="AH66" s="625"/>
      <c r="AI66" s="608">
        <f aca="true" t="shared" si="20" ref="AI66:AI74">+AE66+AC66</f>
        <v>0</v>
      </c>
      <c r="AJ66" s="1131" t="s">
        <v>614</v>
      </c>
      <c r="AK66" s="626"/>
      <c r="AO66" s="725">
        <f t="shared" si="18"/>
        <v>0</v>
      </c>
    </row>
    <row r="67" spans="2:41" ht="40.5" customHeight="1" thickBot="1" thickTop="1">
      <c r="B67" s="56"/>
      <c r="C67" s="119"/>
      <c r="D67" s="119"/>
      <c r="E67" s="1000"/>
      <c r="F67" s="697" t="s">
        <v>480</v>
      </c>
      <c r="G67" s="1013" t="s">
        <v>520</v>
      </c>
      <c r="H67" s="697" t="s">
        <v>523</v>
      </c>
      <c r="I67" s="21">
        <v>0</v>
      </c>
      <c r="J67" s="1110">
        <v>62</v>
      </c>
      <c r="K67" s="228">
        <v>60</v>
      </c>
      <c r="L67" s="228">
        <v>65</v>
      </c>
      <c r="M67" s="228">
        <v>61</v>
      </c>
      <c r="N67" s="87">
        <v>62</v>
      </c>
      <c r="O67" s="1086">
        <v>0</v>
      </c>
      <c r="P67" s="825">
        <v>60</v>
      </c>
      <c r="Q67" s="196">
        <f>+P67/K67*100</f>
        <v>100</v>
      </c>
      <c r="R67" s="825">
        <v>0</v>
      </c>
      <c r="S67" s="876">
        <v>0</v>
      </c>
      <c r="T67" s="825">
        <v>0</v>
      </c>
      <c r="U67" s="197">
        <f t="shared" si="19"/>
        <v>0</v>
      </c>
      <c r="V67" s="662">
        <f>(+U67+S67+Q67)/1</f>
        <v>100</v>
      </c>
      <c r="W67" s="198"/>
      <c r="X67" s="625"/>
      <c r="Y67" s="625"/>
      <c r="Z67" s="625"/>
      <c r="AA67" s="625"/>
      <c r="AB67" s="625"/>
      <c r="AC67" s="896"/>
      <c r="AD67" s="625"/>
      <c r="AE67" s="166"/>
      <c r="AF67" s="166"/>
      <c r="AG67" s="896"/>
      <c r="AH67" s="625"/>
      <c r="AI67" s="608">
        <f t="shared" si="20"/>
        <v>0</v>
      </c>
      <c r="AJ67" s="1131" t="s">
        <v>614</v>
      </c>
      <c r="AK67" s="626"/>
      <c r="AO67" s="725">
        <f t="shared" si="18"/>
        <v>0</v>
      </c>
    </row>
    <row r="68" spans="2:41" ht="23.25" customHeight="1" thickBot="1" thickTop="1">
      <c r="B68" s="56"/>
      <c r="C68" s="119"/>
      <c r="D68" s="119"/>
      <c r="E68" s="1000"/>
      <c r="F68" s="697" t="s">
        <v>521</v>
      </c>
      <c r="G68" s="1013" t="s">
        <v>524</v>
      </c>
      <c r="H68" s="697" t="s">
        <v>447</v>
      </c>
      <c r="I68" s="21">
        <v>0.001</v>
      </c>
      <c r="J68" s="1111">
        <v>0.001</v>
      </c>
      <c r="K68" s="228">
        <v>0.001</v>
      </c>
      <c r="L68" s="228">
        <v>0.001</v>
      </c>
      <c r="M68" s="228">
        <v>0.001</v>
      </c>
      <c r="N68" s="228">
        <v>0.001</v>
      </c>
      <c r="O68" s="1086">
        <v>0</v>
      </c>
      <c r="P68" s="228">
        <v>0.001</v>
      </c>
      <c r="Q68" s="196">
        <f>+P68/K68</f>
        <v>1</v>
      </c>
      <c r="R68" s="825">
        <v>0</v>
      </c>
      <c r="S68" s="876">
        <v>0</v>
      </c>
      <c r="T68" s="825">
        <v>0</v>
      </c>
      <c r="U68" s="197">
        <f t="shared" si="19"/>
        <v>0</v>
      </c>
      <c r="V68" s="1057">
        <f>(+U68+S68+Q68)/1</f>
        <v>1</v>
      </c>
      <c r="W68" s="198"/>
      <c r="X68" s="625"/>
      <c r="Y68" s="625"/>
      <c r="Z68" s="625"/>
      <c r="AA68" s="805"/>
      <c r="AB68" s="625"/>
      <c r="AC68" s="896"/>
      <c r="AD68" s="625"/>
      <c r="AE68" s="166"/>
      <c r="AF68" s="166"/>
      <c r="AG68" s="896"/>
      <c r="AH68" s="625"/>
      <c r="AI68" s="608">
        <f t="shared" si="20"/>
        <v>0</v>
      </c>
      <c r="AJ68" s="1131" t="s">
        <v>614</v>
      </c>
      <c r="AK68" s="626"/>
      <c r="AO68" s="725">
        <f t="shared" si="18"/>
        <v>0</v>
      </c>
    </row>
    <row r="69" spans="2:41" ht="34.5" customHeight="1" thickBot="1" thickTop="1">
      <c r="B69" s="705"/>
      <c r="C69" s="706"/>
      <c r="D69" s="706"/>
      <c r="E69" s="1001"/>
      <c r="F69" s="707" t="s">
        <v>522</v>
      </c>
      <c r="G69" s="712" t="s">
        <v>525</v>
      </c>
      <c r="H69" s="707" t="s">
        <v>531</v>
      </c>
      <c r="I69" s="722">
        <v>3200</v>
      </c>
      <c r="J69" s="1112">
        <v>3000</v>
      </c>
      <c r="K69" s="915">
        <f>+J69/3</f>
        <v>1000</v>
      </c>
      <c r="L69" s="915">
        <v>1000</v>
      </c>
      <c r="M69" s="915">
        <v>1000</v>
      </c>
      <c r="N69" s="721">
        <f>(+M69+L69+K69)</f>
        <v>3000</v>
      </c>
      <c r="O69" s="1087">
        <v>0</v>
      </c>
      <c r="P69" s="825">
        <v>1000</v>
      </c>
      <c r="Q69" s="196">
        <f>+P69/K69*100</f>
        <v>100</v>
      </c>
      <c r="R69" s="825">
        <v>0</v>
      </c>
      <c r="S69" s="876">
        <f aca="true" t="shared" si="21" ref="S69:S74">+Q69/L69</f>
        <v>0.1</v>
      </c>
      <c r="T69" s="825">
        <v>0</v>
      </c>
      <c r="U69" s="197">
        <f t="shared" si="19"/>
        <v>0</v>
      </c>
      <c r="V69" s="825">
        <v>1000</v>
      </c>
      <c r="W69" s="198"/>
      <c r="X69" s="709"/>
      <c r="Y69" s="709"/>
      <c r="Z69" s="709"/>
      <c r="AA69" s="807"/>
      <c r="AB69" s="709"/>
      <c r="AC69" s="897"/>
      <c r="AD69" s="709"/>
      <c r="AE69" s="710"/>
      <c r="AF69" s="710"/>
      <c r="AG69" s="897"/>
      <c r="AH69" s="709"/>
      <c r="AI69" s="608">
        <f t="shared" si="20"/>
        <v>0</v>
      </c>
      <c r="AJ69" s="1131" t="s">
        <v>614</v>
      </c>
      <c r="AK69" s="711"/>
      <c r="AO69" s="725">
        <f t="shared" si="18"/>
        <v>0</v>
      </c>
    </row>
    <row r="70" spans="2:41" ht="32.25" customHeight="1" thickBot="1" thickTop="1">
      <c r="B70" s="698"/>
      <c r="C70" s="699"/>
      <c r="D70" s="699"/>
      <c r="E70" s="1317" t="s">
        <v>392</v>
      </c>
      <c r="F70" s="700" t="s">
        <v>481</v>
      </c>
      <c r="G70" s="717" t="s">
        <v>526</v>
      </c>
      <c r="H70" s="700" t="s">
        <v>454</v>
      </c>
      <c r="I70" s="701">
        <v>0</v>
      </c>
      <c r="J70" s="1113">
        <v>0.94</v>
      </c>
      <c r="K70" s="1053">
        <v>0.94</v>
      </c>
      <c r="L70" s="1053">
        <v>0.94</v>
      </c>
      <c r="M70" s="1053">
        <v>0.94</v>
      </c>
      <c r="N70" s="658">
        <v>94</v>
      </c>
      <c r="O70" s="1088">
        <v>0</v>
      </c>
      <c r="P70" s="922">
        <v>0.68</v>
      </c>
      <c r="Q70" s="1054">
        <f>+P70/K70</f>
        <v>0.723404255319149</v>
      </c>
      <c r="R70" s="825">
        <v>0</v>
      </c>
      <c r="S70" s="876">
        <f t="shared" si="21"/>
        <v>0.7695789950203713</v>
      </c>
      <c r="T70" s="825">
        <v>0</v>
      </c>
      <c r="U70" s="197">
        <f t="shared" si="19"/>
        <v>0</v>
      </c>
      <c r="V70" s="1057">
        <v>0.68</v>
      </c>
      <c r="W70" s="198"/>
      <c r="X70" s="718"/>
      <c r="Y70" s="718"/>
      <c r="Z70" s="718"/>
      <c r="AA70" s="718"/>
      <c r="AB70" s="718"/>
      <c r="AC70" s="898"/>
      <c r="AD70" s="718"/>
      <c r="AE70" s="719"/>
      <c r="AF70" s="719"/>
      <c r="AG70" s="898"/>
      <c r="AH70" s="718"/>
      <c r="AI70" s="608">
        <f t="shared" si="20"/>
        <v>0</v>
      </c>
      <c r="AJ70" s="1131" t="s">
        <v>614</v>
      </c>
      <c r="AK70" s="720"/>
      <c r="AO70" s="725">
        <f t="shared" si="18"/>
        <v>0</v>
      </c>
    </row>
    <row r="71" spans="2:41" ht="34.5" customHeight="1" thickBot="1" thickTop="1">
      <c r="B71" s="705"/>
      <c r="C71" s="706"/>
      <c r="D71" s="706"/>
      <c r="E71" s="1318"/>
      <c r="F71" s="707" t="s">
        <v>482</v>
      </c>
      <c r="G71" s="712" t="s">
        <v>526</v>
      </c>
      <c r="H71" s="707" t="s">
        <v>456</v>
      </c>
      <c r="I71" s="708">
        <v>0</v>
      </c>
      <c r="J71" s="1114">
        <v>0.6</v>
      </c>
      <c r="K71" s="910">
        <v>60</v>
      </c>
      <c r="L71" s="910">
        <v>60</v>
      </c>
      <c r="M71" s="910">
        <v>60</v>
      </c>
      <c r="N71" s="1039">
        <v>0.6</v>
      </c>
      <c r="O71" s="1087">
        <v>0</v>
      </c>
      <c r="P71" s="825">
        <v>0</v>
      </c>
      <c r="Q71" s="1054">
        <f>+P71/K71</f>
        <v>0</v>
      </c>
      <c r="R71" s="825">
        <v>0</v>
      </c>
      <c r="S71" s="876">
        <f t="shared" si="21"/>
        <v>0</v>
      </c>
      <c r="T71" s="825">
        <v>0</v>
      </c>
      <c r="U71" s="197">
        <f t="shared" si="19"/>
        <v>0</v>
      </c>
      <c r="V71" s="662">
        <f>(+U71+S71+Q71)/3</f>
        <v>0</v>
      </c>
      <c r="W71" s="198"/>
      <c r="X71" s="713"/>
      <c r="Y71" s="713"/>
      <c r="Z71" s="713"/>
      <c r="AA71" s="713"/>
      <c r="AB71" s="713"/>
      <c r="AC71" s="897"/>
      <c r="AD71" s="713"/>
      <c r="AE71" s="714"/>
      <c r="AF71" s="714"/>
      <c r="AG71" s="897"/>
      <c r="AH71" s="713"/>
      <c r="AI71" s="608">
        <f t="shared" si="20"/>
        <v>0</v>
      </c>
      <c r="AJ71" s="1131" t="s">
        <v>614</v>
      </c>
      <c r="AK71" s="715"/>
      <c r="AO71" s="725">
        <f t="shared" si="18"/>
        <v>0</v>
      </c>
    </row>
    <row r="72" spans="2:41" ht="47.25" customHeight="1" thickBot="1" thickTop="1">
      <c r="B72" s="698"/>
      <c r="C72" s="699"/>
      <c r="D72" s="699"/>
      <c r="E72" s="1317" t="s">
        <v>393</v>
      </c>
      <c r="F72" s="700" t="s">
        <v>527</v>
      </c>
      <c r="G72" s="717" t="s">
        <v>526</v>
      </c>
      <c r="H72" s="700" t="s">
        <v>454</v>
      </c>
      <c r="I72" s="700">
        <v>0</v>
      </c>
      <c r="J72" s="1055">
        <v>0.7</v>
      </c>
      <c r="K72" s="911">
        <v>70</v>
      </c>
      <c r="L72" s="911">
        <v>70</v>
      </c>
      <c r="M72" s="911">
        <v>70</v>
      </c>
      <c r="N72" s="1040">
        <v>0.7</v>
      </c>
      <c r="O72" s="1088">
        <v>0</v>
      </c>
      <c r="P72" s="825">
        <v>70</v>
      </c>
      <c r="Q72" s="1054">
        <f>+P72/K72</f>
        <v>1</v>
      </c>
      <c r="R72" s="825">
        <v>0</v>
      </c>
      <c r="S72" s="876">
        <f t="shared" si="21"/>
        <v>0.014285714285714285</v>
      </c>
      <c r="T72" s="825">
        <v>0</v>
      </c>
      <c r="U72" s="197">
        <f t="shared" si="19"/>
        <v>0</v>
      </c>
      <c r="V72" s="662">
        <v>0.7</v>
      </c>
      <c r="W72" s="198"/>
      <c r="X72" s="702"/>
      <c r="Y72" s="702"/>
      <c r="Z72" s="702"/>
      <c r="AA72" s="702"/>
      <c r="AB72" s="702"/>
      <c r="AC72" s="898"/>
      <c r="AD72" s="702"/>
      <c r="AE72" s="703"/>
      <c r="AF72" s="703"/>
      <c r="AG72" s="898"/>
      <c r="AH72" s="702"/>
      <c r="AI72" s="608">
        <f t="shared" si="20"/>
        <v>0</v>
      </c>
      <c r="AJ72" s="1131" t="s">
        <v>614</v>
      </c>
      <c r="AK72" s="704"/>
      <c r="AO72" s="725">
        <f t="shared" si="18"/>
        <v>0</v>
      </c>
    </row>
    <row r="73" spans="2:41" ht="42" customHeight="1" thickBot="1" thickTop="1">
      <c r="B73" s="56"/>
      <c r="C73" s="119"/>
      <c r="D73" s="119"/>
      <c r="E73" s="1329"/>
      <c r="F73" s="697" t="s">
        <v>483</v>
      </c>
      <c r="G73" s="1013" t="s">
        <v>526</v>
      </c>
      <c r="H73" s="697" t="s">
        <v>456</v>
      </c>
      <c r="I73" s="697">
        <v>90</v>
      </c>
      <c r="J73" s="1056">
        <v>0.9</v>
      </c>
      <c r="K73" s="228">
        <v>0</v>
      </c>
      <c r="L73" s="228">
        <v>80</v>
      </c>
      <c r="M73" s="228">
        <v>80</v>
      </c>
      <c r="N73" s="87">
        <v>80</v>
      </c>
      <c r="O73" s="1086">
        <v>0</v>
      </c>
      <c r="P73" s="825">
        <v>0</v>
      </c>
      <c r="Q73" s="1054">
        <v>0</v>
      </c>
      <c r="R73" s="825">
        <v>0</v>
      </c>
      <c r="S73" s="876">
        <f t="shared" si="21"/>
        <v>0</v>
      </c>
      <c r="T73" s="825">
        <v>0</v>
      </c>
      <c r="U73" s="197">
        <f t="shared" si="19"/>
        <v>0</v>
      </c>
      <c r="V73" s="662">
        <f>(+U73+S73+Q73)/3</f>
        <v>0</v>
      </c>
      <c r="W73" s="198"/>
      <c r="X73" s="625"/>
      <c r="Y73" s="625"/>
      <c r="Z73" s="625"/>
      <c r="AA73" s="625"/>
      <c r="AB73" s="625"/>
      <c r="AC73" s="896"/>
      <c r="AD73" s="625"/>
      <c r="AE73" s="166"/>
      <c r="AF73" s="166"/>
      <c r="AG73" s="896"/>
      <c r="AH73" s="625"/>
      <c r="AI73" s="608">
        <f t="shared" si="20"/>
        <v>0</v>
      </c>
      <c r="AJ73" s="1131" t="s">
        <v>614</v>
      </c>
      <c r="AK73" s="626"/>
      <c r="AO73" s="725">
        <f t="shared" si="18"/>
        <v>0</v>
      </c>
    </row>
    <row r="74" spans="2:41" ht="34.5" customHeight="1" thickBot="1" thickTop="1">
      <c r="B74" s="705"/>
      <c r="C74" s="706"/>
      <c r="D74" s="706"/>
      <c r="E74" s="1318"/>
      <c r="F74" s="707" t="s">
        <v>484</v>
      </c>
      <c r="G74" s="712" t="s">
        <v>526</v>
      </c>
      <c r="H74" s="707" t="s">
        <v>458</v>
      </c>
      <c r="I74" s="708">
        <v>0</v>
      </c>
      <c r="J74" s="1115">
        <v>208</v>
      </c>
      <c r="K74" s="910">
        <v>0</v>
      </c>
      <c r="L74" s="910">
        <v>104</v>
      </c>
      <c r="M74" s="910">
        <v>104</v>
      </c>
      <c r="N74" s="673">
        <v>208</v>
      </c>
      <c r="O74" s="1087">
        <v>0</v>
      </c>
      <c r="P74" s="825">
        <v>0</v>
      </c>
      <c r="Q74" s="1054">
        <v>0</v>
      </c>
      <c r="R74" s="673">
        <v>0</v>
      </c>
      <c r="S74" s="876">
        <f t="shared" si="21"/>
        <v>0</v>
      </c>
      <c r="T74" s="825">
        <v>0</v>
      </c>
      <c r="U74" s="197">
        <f t="shared" si="19"/>
        <v>0</v>
      </c>
      <c r="V74" s="662">
        <f>(+U74+S74+Q74)/3</f>
        <v>0</v>
      </c>
      <c r="W74" s="198"/>
      <c r="X74" s="709"/>
      <c r="Y74" s="709"/>
      <c r="Z74" s="709"/>
      <c r="AA74" s="709"/>
      <c r="AB74" s="709"/>
      <c r="AC74" s="897"/>
      <c r="AD74" s="709"/>
      <c r="AE74" s="710"/>
      <c r="AF74" s="710"/>
      <c r="AG74" s="897"/>
      <c r="AH74" s="709"/>
      <c r="AI74" s="608">
        <f t="shared" si="20"/>
        <v>0</v>
      </c>
      <c r="AJ74" s="1131" t="s">
        <v>614</v>
      </c>
      <c r="AK74" s="711"/>
      <c r="AO74" s="725">
        <f t="shared" si="18"/>
        <v>0</v>
      </c>
    </row>
    <row r="75" spans="2:41" ht="21" customHeight="1" thickBot="1" thickTop="1">
      <c r="B75" s="743"/>
      <c r="C75" s="744"/>
      <c r="D75" s="739"/>
      <c r="E75" s="739"/>
      <c r="F75" s="739"/>
      <c r="G75" s="741"/>
      <c r="H75" s="739"/>
      <c r="I75" s="742"/>
      <c r="J75" s="819">
        <f>+J74+J69</f>
        <v>3208</v>
      </c>
      <c r="K75" s="819">
        <f>+K74+K69</f>
        <v>1000</v>
      </c>
      <c r="L75" s="819">
        <f>+L74+L69</f>
        <v>1104</v>
      </c>
      <c r="M75" s="819">
        <f>+M74+M69</f>
        <v>1104</v>
      </c>
      <c r="N75" s="819">
        <f>+N74+N69</f>
        <v>3208</v>
      </c>
      <c r="O75" s="1084">
        <v>0</v>
      </c>
      <c r="P75" s="819">
        <f>+P74+P69</f>
        <v>1000</v>
      </c>
      <c r="Q75" s="680"/>
      <c r="R75" s="681"/>
      <c r="S75" s="870"/>
      <c r="T75" s="825">
        <v>0</v>
      </c>
      <c r="U75" s="681"/>
      <c r="V75" s="819">
        <f>+V74+V69</f>
        <v>1000</v>
      </c>
      <c r="W75" s="819"/>
      <c r="X75" s="656"/>
      <c r="Y75" s="656"/>
      <c r="Z75" s="656"/>
      <c r="AA75" s="656"/>
      <c r="AB75" s="656"/>
      <c r="AC75" s="886"/>
      <c r="AD75" s="656"/>
      <c r="AE75" s="691"/>
      <c r="AF75" s="691"/>
      <c r="AG75" s="886"/>
      <c r="AH75" s="656"/>
      <c r="AI75" s="819">
        <f>SUM(AI66:AI74)</f>
        <v>0</v>
      </c>
      <c r="AJ75" s="691"/>
      <c r="AK75" s="692"/>
      <c r="AO75" s="725"/>
    </row>
    <row r="76" spans="1:207" ht="7.5" customHeight="1" thickBot="1">
      <c r="A76" s="685"/>
      <c r="B76" s="716"/>
      <c r="C76" s="716"/>
      <c r="D76" s="716"/>
      <c r="E76" s="716"/>
      <c r="F76" s="716"/>
      <c r="G76" s="716"/>
      <c r="H76" s="716"/>
      <c r="I76" s="716"/>
      <c r="J76" s="820"/>
      <c r="K76" s="820"/>
      <c r="L76" s="820"/>
      <c r="M76" s="820"/>
      <c r="N76" s="716"/>
      <c r="O76" s="1089"/>
      <c r="P76" s="716"/>
      <c r="Q76" s="716"/>
      <c r="R76" s="716"/>
      <c r="S76" s="878"/>
      <c r="T76" s="825">
        <v>0</v>
      </c>
      <c r="U76" s="716"/>
      <c r="V76" s="716"/>
      <c r="W76" s="820"/>
      <c r="X76" s="716"/>
      <c r="Y76" s="716"/>
      <c r="Z76" s="716"/>
      <c r="AA76" s="808"/>
      <c r="AB76" s="716"/>
      <c r="AC76" s="899"/>
      <c r="AD76" s="716"/>
      <c r="AE76" s="820"/>
      <c r="AF76" s="1254"/>
      <c r="AG76" s="899"/>
      <c r="AH76" s="716"/>
      <c r="AI76" s="716"/>
      <c r="AJ76" s="716"/>
      <c r="AK76" s="716"/>
      <c r="AL76" s="685"/>
      <c r="AM76" s="685"/>
      <c r="AN76" s="685"/>
      <c r="AO76" s="725">
        <f>+AA76-O76</f>
        <v>0</v>
      </c>
      <c r="AP76" s="685"/>
      <c r="AV76" s="685"/>
      <c r="AW76" s="685"/>
      <c r="AX76" s="685"/>
      <c r="AY76" s="685"/>
      <c r="AZ76" s="685"/>
      <c r="BA76" s="685"/>
      <c r="BB76" s="685"/>
      <c r="BC76" s="685"/>
      <c r="BD76" s="685"/>
      <c r="BE76" s="685"/>
      <c r="BF76" s="685"/>
      <c r="BG76" s="685"/>
      <c r="BH76" s="685"/>
      <c r="BI76" s="685"/>
      <c r="BJ76" s="685"/>
      <c r="BK76" s="685"/>
      <c r="BL76" s="685"/>
      <c r="BM76" s="685"/>
      <c r="BN76" s="685"/>
      <c r="BO76" s="685"/>
      <c r="BP76" s="685"/>
      <c r="BQ76" s="685"/>
      <c r="BR76" s="685"/>
      <c r="BS76" s="685"/>
      <c r="BT76" s="685"/>
      <c r="BU76" s="685"/>
      <c r="BV76" s="685"/>
      <c r="BW76" s="685"/>
      <c r="BX76" s="685"/>
      <c r="BY76" s="685"/>
      <c r="BZ76" s="685"/>
      <c r="CA76" s="685"/>
      <c r="CB76" s="685"/>
      <c r="CC76" s="685"/>
      <c r="CD76" s="685"/>
      <c r="CE76" s="685"/>
      <c r="CF76" s="685"/>
      <c r="CG76" s="685"/>
      <c r="CH76" s="685"/>
      <c r="CI76" s="685"/>
      <c r="CJ76" s="685"/>
      <c r="CK76" s="685"/>
      <c r="CL76" s="685"/>
      <c r="CM76" s="685"/>
      <c r="CN76" s="685"/>
      <c r="CO76" s="685"/>
      <c r="CP76" s="685"/>
      <c r="CQ76" s="685"/>
      <c r="CR76" s="685"/>
      <c r="CS76" s="685"/>
      <c r="CT76" s="685"/>
      <c r="CU76" s="685"/>
      <c r="CV76" s="685"/>
      <c r="CW76" s="685"/>
      <c r="CX76" s="685"/>
      <c r="CY76" s="685"/>
      <c r="CZ76" s="685"/>
      <c r="DA76" s="685"/>
      <c r="DB76" s="685"/>
      <c r="DC76" s="685"/>
      <c r="DD76" s="685"/>
      <c r="DE76" s="685"/>
      <c r="DF76" s="685"/>
      <c r="DG76" s="685"/>
      <c r="DH76" s="685"/>
      <c r="DI76" s="685"/>
      <c r="DJ76" s="685"/>
      <c r="DK76" s="685"/>
      <c r="DL76" s="685"/>
      <c r="DM76" s="685"/>
      <c r="DN76" s="685"/>
      <c r="DO76" s="685"/>
      <c r="DP76" s="685"/>
      <c r="DQ76" s="685"/>
      <c r="DR76" s="685"/>
      <c r="DS76" s="685"/>
      <c r="DT76" s="685"/>
      <c r="DU76" s="685"/>
      <c r="DV76" s="685"/>
      <c r="DW76" s="685"/>
      <c r="DX76" s="685"/>
      <c r="DY76" s="685"/>
      <c r="DZ76" s="685"/>
      <c r="EA76" s="685"/>
      <c r="EB76" s="685"/>
      <c r="EC76" s="685"/>
      <c r="ED76" s="685"/>
      <c r="EE76" s="685"/>
      <c r="EF76" s="685"/>
      <c r="EG76" s="685"/>
      <c r="EH76" s="685"/>
      <c r="EI76" s="685"/>
      <c r="EJ76" s="685"/>
      <c r="EK76" s="685"/>
      <c r="EL76" s="685"/>
      <c r="EM76" s="685"/>
      <c r="EN76" s="685"/>
      <c r="EO76" s="685"/>
      <c r="EP76" s="685"/>
      <c r="EQ76" s="685"/>
      <c r="ER76" s="685"/>
      <c r="ES76" s="685"/>
      <c r="ET76" s="685"/>
      <c r="EU76" s="685"/>
      <c r="EV76" s="685"/>
      <c r="EW76" s="685"/>
      <c r="EX76" s="685"/>
      <c r="EY76" s="685"/>
      <c r="EZ76" s="685"/>
      <c r="FA76" s="685"/>
      <c r="FB76" s="685"/>
      <c r="FC76" s="685"/>
      <c r="FD76" s="685"/>
      <c r="FE76" s="685"/>
      <c r="FF76" s="685"/>
      <c r="FG76" s="685"/>
      <c r="FH76" s="685"/>
      <c r="FI76" s="685"/>
      <c r="FJ76" s="685"/>
      <c r="FK76" s="685"/>
      <c r="FL76" s="685"/>
      <c r="FM76" s="685"/>
      <c r="FN76" s="685"/>
      <c r="FO76" s="685"/>
      <c r="FP76" s="685"/>
      <c r="FQ76" s="685"/>
      <c r="FR76" s="685"/>
      <c r="FS76" s="685"/>
      <c r="FT76" s="685"/>
      <c r="FU76" s="685"/>
      <c r="FV76" s="685"/>
      <c r="FW76" s="685"/>
      <c r="FX76" s="685"/>
      <c r="FY76" s="685"/>
      <c r="FZ76" s="685"/>
      <c r="GA76" s="685"/>
      <c r="GB76" s="685"/>
      <c r="GC76" s="685"/>
      <c r="GD76" s="685"/>
      <c r="GE76" s="685"/>
      <c r="GF76" s="685"/>
      <c r="GG76" s="685"/>
      <c r="GH76" s="685"/>
      <c r="GI76" s="685"/>
      <c r="GJ76" s="685"/>
      <c r="GK76" s="685"/>
      <c r="GL76" s="685"/>
      <c r="GM76" s="685"/>
      <c r="GN76" s="685"/>
      <c r="GO76" s="685"/>
      <c r="GP76" s="685"/>
      <c r="GQ76" s="685"/>
      <c r="GR76" s="685"/>
      <c r="GS76" s="685"/>
      <c r="GT76" s="685"/>
      <c r="GU76" s="685"/>
      <c r="GV76" s="685"/>
      <c r="GW76" s="685"/>
      <c r="GX76" s="685"/>
      <c r="GY76" s="685"/>
    </row>
    <row r="77" spans="2:41" ht="23.25" customHeight="1" thickBot="1">
      <c r="B77" s="1330" t="s">
        <v>400</v>
      </c>
      <c r="C77" s="1331"/>
      <c r="D77" s="1331"/>
      <c r="E77" s="1331"/>
      <c r="F77" s="1331"/>
      <c r="G77" s="1331"/>
      <c r="H77" s="1331"/>
      <c r="I77" s="1331"/>
      <c r="J77" s="1331"/>
      <c r="K77" s="815"/>
      <c r="L77" s="815"/>
      <c r="M77" s="815"/>
      <c r="N77" s="676"/>
      <c r="O77" s="1085"/>
      <c r="P77" s="676"/>
      <c r="Q77" s="676"/>
      <c r="R77" s="676"/>
      <c r="S77" s="877"/>
      <c r="T77" s="825">
        <v>0</v>
      </c>
      <c r="U77" s="676"/>
      <c r="V77" s="676"/>
      <c r="W77" s="676"/>
      <c r="X77" s="676"/>
      <c r="Y77" s="676"/>
      <c r="Z77" s="676"/>
      <c r="AA77" s="676"/>
      <c r="AB77" s="676"/>
      <c r="AC77" s="885"/>
      <c r="AD77" s="676"/>
      <c r="AE77" s="815"/>
      <c r="AF77" s="815"/>
      <c r="AG77" s="885"/>
      <c r="AH77" s="676"/>
      <c r="AI77" s="676"/>
      <c r="AJ77" s="676"/>
      <c r="AK77" s="677"/>
      <c r="AO77" s="725">
        <f>+AA77-O77</f>
        <v>0</v>
      </c>
    </row>
    <row r="78" spans="2:41" ht="23.25" customHeight="1" thickBot="1">
      <c r="B78" s="1002"/>
      <c r="C78" s="1003"/>
      <c r="D78" s="1003"/>
      <c r="E78" s="1003"/>
      <c r="F78" s="1003"/>
      <c r="G78" s="1003"/>
      <c r="H78" s="1003"/>
      <c r="I78" s="1003"/>
      <c r="J78" s="1004"/>
      <c r="K78" s="916"/>
      <c r="L78" s="916"/>
      <c r="M78" s="916"/>
      <c r="N78" s="756"/>
      <c r="O78" s="1090"/>
      <c r="P78" s="757"/>
      <c r="Q78" s="757"/>
      <c r="R78" s="756"/>
      <c r="S78" s="879"/>
      <c r="T78" s="825">
        <v>0</v>
      </c>
      <c r="U78" s="756"/>
      <c r="V78" s="756"/>
      <c r="W78" s="756"/>
      <c r="X78" s="758"/>
      <c r="Y78" s="758"/>
      <c r="Z78" s="758"/>
      <c r="AA78" s="758"/>
      <c r="AB78" s="428"/>
      <c r="AC78" s="900"/>
      <c r="AD78" s="632"/>
      <c r="AE78" s="941"/>
      <c r="AF78" s="1255"/>
      <c r="AG78" s="900"/>
      <c r="AH78" s="632"/>
      <c r="AI78" s="608"/>
      <c r="AJ78" s="322"/>
      <c r="AK78" s="321"/>
      <c r="AO78" s="725">
        <f>+AA78-O78</f>
        <v>0</v>
      </c>
    </row>
    <row r="79" spans="1:41" ht="62.25" customHeight="1" thickBot="1" thickTop="1">
      <c r="A79" s="133"/>
      <c r="B79" s="343"/>
      <c r="C79" s="192"/>
      <c r="D79" s="192"/>
      <c r="E79" s="755" t="s">
        <v>394</v>
      </c>
      <c r="F79" s="753" t="s">
        <v>538</v>
      </c>
      <c r="G79" s="32"/>
      <c r="H79" s="760" t="s">
        <v>462</v>
      </c>
      <c r="I79" s="46">
        <v>0</v>
      </c>
      <c r="J79" s="34">
        <v>60</v>
      </c>
      <c r="K79" s="34">
        <v>0</v>
      </c>
      <c r="L79" s="917">
        <v>0.6</v>
      </c>
      <c r="M79" s="917">
        <v>0.6</v>
      </c>
      <c r="N79" s="759">
        <f>+M79+L79+K79</f>
        <v>1.2</v>
      </c>
      <c r="O79" s="1070">
        <v>0</v>
      </c>
      <c r="P79" s="922">
        <v>0.6</v>
      </c>
      <c r="Q79" s="930">
        <v>1</v>
      </c>
      <c r="R79" s="922">
        <v>0.6</v>
      </c>
      <c r="S79" s="876">
        <f>+R79/L79</f>
        <v>1</v>
      </c>
      <c r="T79" s="825">
        <v>0</v>
      </c>
      <c r="U79" s="197">
        <v>1</v>
      </c>
      <c r="V79" s="662"/>
      <c r="W79" s="634"/>
      <c r="X79" s="60"/>
      <c r="Y79" s="60"/>
      <c r="Z79" s="60"/>
      <c r="AA79" s="804"/>
      <c r="AB79" s="750"/>
      <c r="AC79" s="889"/>
      <c r="AD79" s="751"/>
      <c r="AE79" s="939"/>
      <c r="AF79" s="1256"/>
      <c r="AG79" s="889"/>
      <c r="AH79" s="682"/>
      <c r="AI79" s="608">
        <f>+AE79+AC79</f>
        <v>0</v>
      </c>
      <c r="AJ79" s="1131" t="s">
        <v>615</v>
      </c>
      <c r="AK79" s="752"/>
      <c r="AO79" s="725"/>
    </row>
    <row r="80" spans="1:41" ht="68.25" customHeight="1" thickBot="1" thickTop="1">
      <c r="A80" s="133"/>
      <c r="B80" s="343"/>
      <c r="C80" s="192"/>
      <c r="D80" s="192"/>
      <c r="E80" s="754" t="s">
        <v>395</v>
      </c>
      <c r="F80" s="753" t="s">
        <v>539</v>
      </c>
      <c r="G80" s="32"/>
      <c r="H80" s="760" t="s">
        <v>466</v>
      </c>
      <c r="I80" s="46">
        <v>0</v>
      </c>
      <c r="J80" s="34">
        <v>8</v>
      </c>
      <c r="K80" s="34">
        <v>1</v>
      </c>
      <c r="L80" s="34">
        <v>3</v>
      </c>
      <c r="M80" s="918">
        <v>2</v>
      </c>
      <c r="N80" s="759">
        <f>+M80+L80+K80</f>
        <v>6</v>
      </c>
      <c r="O80" s="1077">
        <v>40000</v>
      </c>
      <c r="P80" s="825">
        <v>1</v>
      </c>
      <c r="Q80" s="1054">
        <v>1</v>
      </c>
      <c r="R80" s="825">
        <v>3</v>
      </c>
      <c r="S80" s="1054">
        <v>1</v>
      </c>
      <c r="T80" s="825">
        <v>0</v>
      </c>
      <c r="U80" s="197">
        <f>+T80/M80*100</f>
        <v>0</v>
      </c>
      <c r="V80" s="662"/>
      <c r="W80" s="683"/>
      <c r="X80" s="1015">
        <v>13000</v>
      </c>
      <c r="Y80" s="1015">
        <v>13500</v>
      </c>
      <c r="Z80" s="1015">
        <v>13500</v>
      </c>
      <c r="AA80" s="809">
        <f>SUM(X80:Z80)</f>
        <v>40000</v>
      </c>
      <c r="AB80" s="438">
        <f>+AA80-O80</f>
        <v>0</v>
      </c>
      <c r="AC80" s="887">
        <v>13500</v>
      </c>
      <c r="AD80" s="934">
        <f>+AC80/X80</f>
        <v>1.0384615384615385</v>
      </c>
      <c r="AE80" s="797">
        <v>14626.14</v>
      </c>
      <c r="AF80" s="1257">
        <f>+AE80/X80</f>
        <v>1.1250876923076922</v>
      </c>
      <c r="AG80" s="887">
        <v>12360.03</v>
      </c>
      <c r="AH80" s="935">
        <f>+AG80/Y80</f>
        <v>0.9155577777777778</v>
      </c>
      <c r="AI80" s="608">
        <f>+AE80+AC80</f>
        <v>28126.14</v>
      </c>
      <c r="AJ80" s="1131" t="s">
        <v>615</v>
      </c>
      <c r="AK80" s="566"/>
      <c r="AO80" s="725"/>
    </row>
    <row r="81" spans="1:41" ht="27" customHeight="1" thickBot="1" thickTop="1">
      <c r="A81" s="2"/>
      <c r="B81" s="2"/>
      <c r="C81" s="2"/>
      <c r="D81" s="2"/>
      <c r="E81" s="2"/>
      <c r="F81" s="2"/>
      <c r="G81" s="2"/>
      <c r="H81" s="2"/>
      <c r="I81" s="749"/>
      <c r="J81" s="850">
        <f>+J80+J79+J75+J62+J58+J19</f>
        <v>2298086</v>
      </c>
      <c r="K81" s="850">
        <f>+K80+K79+K75+K62+K58+K19</f>
        <v>758119</v>
      </c>
      <c r="L81" s="850">
        <f>+L80+L79+L75+L62+L58+L19</f>
        <v>770009.6</v>
      </c>
      <c r="M81" s="1005" t="s">
        <v>537</v>
      </c>
      <c r="N81" s="1006"/>
      <c r="O81" s="1091">
        <f>+O80+O79+O75+O62+O58+O19</f>
        <v>32856899</v>
      </c>
      <c r="P81" s="850">
        <f>+P80+P79+P75+P62+P58+P19</f>
        <v>750701.6</v>
      </c>
      <c r="Q81" s="851"/>
      <c r="R81" s="850">
        <f>+R80+R79+R75+R62+R58+R19</f>
        <v>832451.6</v>
      </c>
      <c r="S81" s="880">
        <f>+R81/L81</f>
        <v>1.0810924954701864</v>
      </c>
      <c r="T81" s="850">
        <f>+T80+T79+T75+T62+T58+T19</f>
        <v>0</v>
      </c>
      <c r="U81" s="852"/>
      <c r="V81" s="853"/>
      <c r="W81" s="854"/>
      <c r="X81" s="850">
        <f aca="true" t="shared" si="22" ref="X81:AC81">+X80+X79+X75+X62+X58+X19</f>
        <v>10795384.333333332</v>
      </c>
      <c r="Y81" s="1116">
        <f t="shared" si="22"/>
        <v>12851568.333333332</v>
      </c>
      <c r="Z81" s="1116">
        <f t="shared" si="22"/>
        <v>9209946.333333334</v>
      </c>
      <c r="AA81" s="1117">
        <f t="shared" si="22"/>
        <v>32856899</v>
      </c>
      <c r="AB81" s="1117" t="e">
        <f t="shared" si="22"/>
        <v>#REF!</v>
      </c>
      <c r="AC81" s="1118">
        <f t="shared" si="22"/>
        <v>10780052.68</v>
      </c>
      <c r="AD81" s="751"/>
      <c r="AE81" s="933">
        <f>+AE80+AE79+AE75+AE62+AE58+AE19</f>
        <v>9318282.499999998</v>
      </c>
      <c r="AF81" s="1257">
        <f>+AE81/X81</f>
        <v>0.8631728350076033</v>
      </c>
      <c r="AG81" s="949">
        <f>+AG80+AG79+AG75+AG62+AG58+AG19</f>
        <v>7353001.640000001</v>
      </c>
      <c r="AH81" s="682"/>
      <c r="AI81" s="949">
        <f>+AI80+AI79+AI75+AI62+AI58+AI19</f>
        <v>20098335.18</v>
      </c>
      <c r="AJ81" s="344"/>
      <c r="AK81" s="566"/>
      <c r="AO81" s="725">
        <f>+AA81-O81</f>
        <v>0</v>
      </c>
    </row>
    <row r="82" spans="1:56" ht="31.5" customHeight="1" thickBot="1" thickTop="1">
      <c r="A82" s="2"/>
      <c r="B82" s="2"/>
      <c r="C82" s="2"/>
      <c r="D82" s="2"/>
      <c r="E82" s="362" t="s">
        <v>30</v>
      </c>
      <c r="F82" s="2"/>
      <c r="G82" s="2"/>
      <c r="K82" s="1"/>
      <c r="L82" s="1"/>
      <c r="M82" s="1"/>
      <c r="N82" s="749"/>
      <c r="O82" s="1041"/>
      <c r="P82" s="1041"/>
      <c r="Q82" s="1041"/>
      <c r="S82" s="881"/>
      <c r="T82" s="749"/>
      <c r="U82" s="749"/>
      <c r="V82" s="749"/>
      <c r="W82" s="749"/>
      <c r="X82" s="749"/>
      <c r="Y82" s="1304" t="s">
        <v>682</v>
      </c>
      <c r="Z82" s="1305"/>
      <c r="AA82" s="1305"/>
      <c r="AB82" s="1305"/>
      <c r="AC82" s="1119">
        <v>27611735.51</v>
      </c>
      <c r="AD82" s="1129">
        <f>+AC81/AC82</f>
        <v>0.39041561426285004</v>
      </c>
      <c r="AE82" s="1271">
        <v>0.8632</v>
      </c>
      <c r="AF82" s="1258"/>
      <c r="AG82" s="901"/>
      <c r="AH82" s="749"/>
      <c r="AJ82" s="749"/>
      <c r="AK82" s="749"/>
      <c r="AL82" s="749"/>
      <c r="AM82" s="749"/>
      <c r="AN82" s="749"/>
      <c r="AO82" s="749"/>
      <c r="AP82" s="749"/>
      <c r="AV82" s="749"/>
      <c r="AW82" s="749"/>
      <c r="AX82" s="749"/>
      <c r="AY82" s="749"/>
      <c r="AZ82" s="749"/>
      <c r="BA82" s="749"/>
      <c r="BB82" s="749"/>
      <c r="BC82" s="749"/>
      <c r="BD82" s="749"/>
    </row>
    <row r="83" spans="1:56" ht="41.25" customHeight="1">
      <c r="A83" s="2"/>
      <c r="B83" s="2"/>
      <c r="C83" s="2"/>
      <c r="D83" s="2"/>
      <c r="E83" s="863"/>
      <c r="F83" s="2"/>
      <c r="G83" s="2"/>
      <c r="H83" s="2"/>
      <c r="I83" s="749"/>
      <c r="J83" s="1"/>
      <c r="K83" s="1"/>
      <c r="L83" s="1"/>
      <c r="M83" s="1"/>
      <c r="N83" s="749"/>
      <c r="O83" s="1058"/>
      <c r="P83" s="749"/>
      <c r="Q83" s="749"/>
      <c r="R83" s="749"/>
      <c r="S83" s="881"/>
      <c r="T83" s="749"/>
      <c r="U83" s="749"/>
      <c r="V83" s="749"/>
      <c r="W83" s="749"/>
      <c r="X83" s="749"/>
      <c r="Y83" s="749"/>
      <c r="Z83" s="749"/>
      <c r="AA83" s="810"/>
      <c r="AB83" s="749"/>
      <c r="AC83" s="940"/>
      <c r="AD83" s="749"/>
      <c r="AE83" s="1"/>
      <c r="AF83" s="1258"/>
      <c r="AG83" s="901"/>
      <c r="AH83" s="749"/>
      <c r="AI83" s="950"/>
      <c r="AJ83" s="749"/>
      <c r="AK83" s="749"/>
      <c r="AL83" s="749"/>
      <c r="AM83" s="749"/>
      <c r="AN83" s="749"/>
      <c r="AO83" s="749"/>
      <c r="AP83" s="749"/>
      <c r="AV83" s="749"/>
      <c r="AW83" s="749"/>
      <c r="AX83" s="749"/>
      <c r="AY83" s="749"/>
      <c r="AZ83" s="749"/>
      <c r="BA83" s="749"/>
      <c r="BB83" s="749"/>
      <c r="BC83" s="749"/>
      <c r="BD83" s="749"/>
    </row>
    <row r="84" spans="1:56" ht="18.75" customHeight="1">
      <c r="A84" s="24"/>
      <c r="B84" s="149"/>
      <c r="G84" s="2"/>
      <c r="H84" s="2"/>
      <c r="I84" s="749"/>
      <c r="J84" s="1"/>
      <c r="K84" s="1"/>
      <c r="L84" s="919"/>
      <c r="M84" s="919"/>
      <c r="N84" s="749"/>
      <c r="O84" s="1058"/>
      <c r="P84" s="749"/>
      <c r="Q84" s="749"/>
      <c r="R84" s="749"/>
      <c r="S84" s="881"/>
      <c r="T84" s="749"/>
      <c r="U84" s="749"/>
      <c r="V84" s="749"/>
      <c r="W84" s="749"/>
      <c r="X84" s="749"/>
      <c r="Y84" s="749"/>
      <c r="Z84" s="749"/>
      <c r="AA84" s="810"/>
      <c r="AB84" s="749"/>
      <c r="AC84" s="901"/>
      <c r="AD84" s="749"/>
      <c r="AE84" s="1"/>
      <c r="AF84" s="1258"/>
      <c r="AG84" s="901"/>
      <c r="AH84" s="749"/>
      <c r="AI84" s="951"/>
      <c r="AJ84" s="749"/>
      <c r="AK84" s="749"/>
      <c r="AL84" s="749"/>
      <c r="AM84" s="749"/>
      <c r="AN84" s="749"/>
      <c r="AO84" s="749"/>
      <c r="AP84" s="749"/>
      <c r="AV84" s="749"/>
      <c r="AW84" s="749"/>
      <c r="AX84" s="749"/>
      <c r="AY84" s="749"/>
      <c r="AZ84" s="749"/>
      <c r="BA84" s="749"/>
      <c r="BB84" s="749"/>
      <c r="BC84" s="749"/>
      <c r="BD84" s="749"/>
    </row>
    <row r="85" spans="1:56" ht="41.25" customHeight="1">
      <c r="A85" s="24"/>
      <c r="B85" s="149"/>
      <c r="G85" s="2"/>
      <c r="H85" s="2"/>
      <c r="I85" s="749"/>
      <c r="J85" s="1"/>
      <c r="K85" s="1"/>
      <c r="L85" s="14"/>
      <c r="M85" s="919"/>
      <c r="N85" s="749"/>
      <c r="O85" s="1058"/>
      <c r="P85" s="749"/>
      <c r="Q85" s="749"/>
      <c r="R85" s="749"/>
      <c r="S85" s="881"/>
      <c r="T85" s="749"/>
      <c r="U85" s="749"/>
      <c r="V85" s="749"/>
      <c r="W85" s="749"/>
      <c r="X85" s="749"/>
      <c r="Y85" s="847"/>
      <c r="Z85" s="749"/>
      <c r="AA85" s="810"/>
      <c r="AB85" s="749"/>
      <c r="AC85" s="901"/>
      <c r="AD85" s="749"/>
      <c r="AE85" s="1"/>
      <c r="AF85" s="1258"/>
      <c r="AG85" s="901"/>
      <c r="AH85" s="749"/>
      <c r="AI85" s="952"/>
      <c r="AJ85" s="749"/>
      <c r="AK85" s="749"/>
      <c r="AL85" s="749"/>
      <c r="AM85" s="749"/>
      <c r="AN85" s="749"/>
      <c r="AO85" s="749"/>
      <c r="AP85" s="749"/>
      <c r="AV85" s="749"/>
      <c r="AW85" s="749"/>
      <c r="AX85" s="749"/>
      <c r="AY85" s="749"/>
      <c r="AZ85" s="749"/>
      <c r="BA85" s="749"/>
      <c r="BB85" s="749"/>
      <c r="BC85" s="749"/>
      <c r="BD85" s="749"/>
    </row>
    <row r="86" spans="1:56" ht="41.25" customHeight="1">
      <c r="A86" s="24"/>
      <c r="B86" s="149"/>
      <c r="E86" s="1322" t="s">
        <v>384</v>
      </c>
      <c r="F86" s="1323"/>
      <c r="G86" s="19"/>
      <c r="H86" s="1379" t="s">
        <v>383</v>
      </c>
      <c r="I86" s="1379"/>
      <c r="J86" s="1007"/>
      <c r="K86" s="1"/>
      <c r="L86" s="14"/>
      <c r="M86" s="919"/>
      <c r="N86" s="749"/>
      <c r="O86" s="1058"/>
      <c r="P86" s="749"/>
      <c r="Q86" s="1007"/>
      <c r="R86" s="1007"/>
      <c r="S86" s="1007"/>
      <c r="T86" s="1007"/>
      <c r="U86" s="1007"/>
      <c r="V86" s="1007"/>
      <c r="W86" s="1007"/>
      <c r="X86" s="749"/>
      <c r="Y86" s="14" t="s">
        <v>346</v>
      </c>
      <c r="Z86" s="14"/>
      <c r="AA86" s="14"/>
      <c r="AB86" s="14"/>
      <c r="AC86" s="901"/>
      <c r="AD86" s="749"/>
      <c r="AE86" s="1"/>
      <c r="AF86" s="1258"/>
      <c r="AG86" s="901"/>
      <c r="AH86" s="749"/>
      <c r="AI86" s="749"/>
      <c r="AJ86" s="749"/>
      <c r="AK86" s="749"/>
      <c r="AL86" s="749"/>
      <c r="AM86" s="749"/>
      <c r="AN86" s="749"/>
      <c r="AO86" s="749"/>
      <c r="AP86" s="749"/>
      <c r="AV86" s="749"/>
      <c r="AW86" s="749"/>
      <c r="AX86" s="749"/>
      <c r="AY86" s="749"/>
      <c r="AZ86" s="749"/>
      <c r="BA86" s="749"/>
      <c r="BB86" s="749"/>
      <c r="BC86" s="749"/>
      <c r="BD86" s="749"/>
    </row>
    <row r="87" spans="1:56" ht="15.75" customHeight="1">
      <c r="A87" s="24"/>
      <c r="B87" s="149"/>
      <c r="C87" s="122"/>
      <c r="D87" s="122"/>
      <c r="E87" s="1321" t="s">
        <v>545</v>
      </c>
      <c r="F87" s="1321"/>
      <c r="G87" s="364"/>
      <c r="H87" s="1321" t="s">
        <v>602</v>
      </c>
      <c r="I87" s="1321"/>
      <c r="J87" s="362"/>
      <c r="K87" s="1"/>
      <c r="L87" s="14"/>
      <c r="M87" s="919"/>
      <c r="N87" s="749"/>
      <c r="O87" s="1058"/>
      <c r="P87" s="749"/>
      <c r="Q87" s="362"/>
      <c r="R87" s="362"/>
      <c r="S87" s="362"/>
      <c r="T87" s="362"/>
      <c r="U87" s="362"/>
      <c r="V87" s="362"/>
      <c r="W87" s="362"/>
      <c r="X87" s="749"/>
      <c r="Y87" s="920"/>
      <c r="Z87" s="920"/>
      <c r="AA87" s="920"/>
      <c r="AB87" s="920"/>
      <c r="AC87" s="901"/>
      <c r="AD87" s="749"/>
      <c r="AE87" s="1"/>
      <c r="AF87" s="1258"/>
      <c r="AG87" s="901"/>
      <c r="AH87" s="749"/>
      <c r="AI87" s="749"/>
      <c r="AJ87" s="749"/>
      <c r="AK87" s="749"/>
      <c r="AL87" s="749"/>
      <c r="AM87" s="749"/>
      <c r="AN87" s="749"/>
      <c r="AO87" s="749"/>
      <c r="AP87" s="749"/>
      <c r="AV87" s="749"/>
      <c r="AW87" s="749"/>
      <c r="AX87" s="749"/>
      <c r="AY87" s="749"/>
      <c r="AZ87" s="749"/>
      <c r="BA87" s="749"/>
      <c r="BB87" s="749"/>
      <c r="BC87" s="749"/>
      <c r="BD87" s="749"/>
    </row>
    <row r="88" spans="1:56" ht="30.75" customHeight="1">
      <c r="A88" s="24"/>
      <c r="B88" s="149"/>
      <c r="C88" s="122"/>
      <c r="D88" s="122"/>
      <c r="E88" s="1320" t="s">
        <v>546</v>
      </c>
      <c r="F88" s="1320"/>
      <c r="G88" s="19"/>
      <c r="H88" s="1320" t="s">
        <v>547</v>
      </c>
      <c r="I88" s="1320"/>
      <c r="J88" s="18"/>
      <c r="P88" s="18"/>
      <c r="Q88" s="18"/>
      <c r="R88" s="18"/>
      <c r="S88" s="18"/>
      <c r="T88" s="18"/>
      <c r="U88" s="18"/>
      <c r="V88" s="18"/>
      <c r="W88" s="18"/>
      <c r="X88" s="749"/>
      <c r="Y88" s="921"/>
      <c r="Z88" s="921"/>
      <c r="AA88" s="921"/>
      <c r="AB88" s="921"/>
      <c r="AC88" s="901"/>
      <c r="AD88" s="749"/>
      <c r="AE88" s="1"/>
      <c r="AF88" s="1258"/>
      <c r="AG88" s="901"/>
      <c r="AH88" s="749"/>
      <c r="AI88" s="749"/>
      <c r="AJ88" s="749"/>
      <c r="AK88" s="749"/>
      <c r="AL88" s="749"/>
      <c r="AM88" s="749"/>
      <c r="AN88" s="749"/>
      <c r="AO88" s="749"/>
      <c r="AP88" s="749"/>
      <c r="AV88" s="749"/>
      <c r="AW88" s="749"/>
      <c r="AX88" s="749"/>
      <c r="AY88" s="749"/>
      <c r="AZ88" s="749"/>
      <c r="BA88" s="749"/>
      <c r="BB88" s="749"/>
      <c r="BC88" s="749"/>
      <c r="BD88" s="749"/>
    </row>
    <row r="89" ht="35.25" customHeight="1"/>
    <row r="90" spans="5:9" ht="23.25" customHeight="1">
      <c r="E90" s="1335" t="s">
        <v>678</v>
      </c>
      <c r="F90" s="1335"/>
      <c r="G90" s="919"/>
      <c r="H90" s="1335" t="s">
        <v>569</v>
      </c>
      <c r="I90" s="1335"/>
    </row>
    <row r="91" spans="5:9" ht="23.25" customHeight="1">
      <c r="E91" s="1378" t="s">
        <v>679</v>
      </c>
      <c r="F91" s="1378"/>
      <c r="G91" s="919"/>
      <c r="H91" s="1319" t="s">
        <v>548</v>
      </c>
      <c r="I91" s="1319"/>
    </row>
  </sheetData>
  <sheetProtection/>
  <mergeCells count="52">
    <mergeCell ref="G49:G50"/>
    <mergeCell ref="H49:H50"/>
    <mergeCell ref="Y9:Y10"/>
    <mergeCell ref="Z9:Z10"/>
    <mergeCell ref="P3:X3"/>
    <mergeCell ref="G43:G45"/>
    <mergeCell ref="X9:X10"/>
    <mergeCell ref="X7:AH7"/>
    <mergeCell ref="AA8:AA10"/>
    <mergeCell ref="AC9:AC10"/>
    <mergeCell ref="B21:J21"/>
    <mergeCell ref="B22:J22"/>
    <mergeCell ref="B11:J11"/>
    <mergeCell ref="AI8:AI10"/>
    <mergeCell ref="AJ8:AJ10"/>
    <mergeCell ref="AK8:AK10"/>
    <mergeCell ref="AD9:AD10"/>
    <mergeCell ref="X8:Z8"/>
    <mergeCell ref="AC8:AF8"/>
    <mergeCell ref="AE9:AE10"/>
    <mergeCell ref="AF9:AF10"/>
    <mergeCell ref="K7:W7"/>
    <mergeCell ref="P8:V8"/>
    <mergeCell ref="B12:J12"/>
    <mergeCell ref="E13:E18"/>
    <mergeCell ref="E72:E74"/>
    <mergeCell ref="B77:J77"/>
    <mergeCell ref="E42:E57"/>
    <mergeCell ref="H90:I90"/>
    <mergeCell ref="E25:E26"/>
    <mergeCell ref="E27:E28"/>
    <mergeCell ref="E29:E32"/>
    <mergeCell ref="E33:E37"/>
    <mergeCell ref="H91:I91"/>
    <mergeCell ref="H88:I88"/>
    <mergeCell ref="H87:I87"/>
    <mergeCell ref="E87:F87"/>
    <mergeCell ref="E88:F88"/>
    <mergeCell ref="E86:F86"/>
    <mergeCell ref="E90:F90"/>
    <mergeCell ref="E91:F91"/>
    <mergeCell ref="H86:I86"/>
    <mergeCell ref="Y82:AB82"/>
    <mergeCell ref="F33:F41"/>
    <mergeCell ref="F43:F45"/>
    <mergeCell ref="B60:J60"/>
    <mergeCell ref="B64:J64"/>
    <mergeCell ref="E70:E71"/>
    <mergeCell ref="G36:G39"/>
    <mergeCell ref="F51:F53"/>
    <mergeCell ref="G51:G53"/>
    <mergeCell ref="F49:F50"/>
  </mergeCells>
  <printOptions/>
  <pageMargins left="0.54" right="0" top="0.31496062992125984" bottom="0" header="0.31496062992125984" footer="0"/>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CL124"/>
  <sheetViews>
    <sheetView zoomScale="115" zoomScaleNormal="115" zoomScalePageLayoutView="0" workbookViewId="0" topLeftCell="A1">
      <pane xSplit="7" ySplit="11" topLeftCell="H63" activePane="bottomRight" state="frozen"/>
      <selection pane="topLeft" activeCell="A1" sqref="A1"/>
      <selection pane="topRight" activeCell="H1" sqref="H1"/>
      <selection pane="bottomLeft" activeCell="A12" sqref="A12"/>
      <selection pane="bottomRight" activeCell="J63" sqref="J63"/>
    </sheetView>
  </sheetViews>
  <sheetFormatPr defaultColWidth="11.421875" defaultRowHeight="15"/>
  <cols>
    <col min="1" max="1" width="3.140625" style="4" customWidth="1"/>
    <col min="2" max="2" width="5.140625" style="151" customWidth="1"/>
    <col min="3" max="3" width="6.00390625" style="121" customWidth="1"/>
    <col min="4" max="4" width="6.28125" style="121" customWidth="1"/>
    <col min="5" max="5" width="20.7109375" style="4" customWidth="1"/>
    <col min="6" max="6" width="19.7109375" style="4" customWidth="1"/>
    <col min="7" max="7" width="11.8515625" style="4" customWidth="1"/>
    <col min="8" max="8" width="13.57421875" style="4" customWidth="1"/>
    <col min="9" max="9" width="6.28125" style="49" customWidth="1"/>
    <col min="10" max="10" width="8.57421875" style="49" customWidth="1"/>
    <col min="11" max="11" width="19.57421875" style="4" customWidth="1"/>
    <col min="12" max="23" width="4.421875" style="4" customWidth="1"/>
    <col min="24" max="24" width="7.421875" style="4" customWidth="1"/>
    <col min="25" max="25" width="11.8515625" style="124" customWidth="1"/>
    <col min="26" max="28" width="8.57421875" style="49" customWidth="1"/>
    <col min="29" max="29" width="7.7109375" style="61" customWidth="1"/>
    <col min="30" max="32" width="6.7109375" style="49" customWidth="1"/>
    <col min="33" max="33" width="8.57421875" style="49" customWidth="1"/>
    <col min="34" max="35" width="6.7109375" style="49" customWidth="1"/>
    <col min="36" max="36" width="6.7109375" style="450" customWidth="1"/>
    <col min="37" max="37" width="9.140625" style="49" customWidth="1"/>
    <col min="38" max="38" width="11.421875" style="62" customWidth="1"/>
    <col min="39" max="41" width="4.00390625" style="49" customWidth="1"/>
    <col min="42" max="42" width="4.28125" style="49" customWidth="1"/>
    <col min="43" max="43" width="15.00390625" style="49" customWidth="1"/>
    <col min="44" max="44" width="17.421875" style="557" customWidth="1"/>
    <col min="45" max="45" width="0.85546875" style="49" customWidth="1"/>
    <col min="46" max="46" width="1.28515625" style="49" customWidth="1"/>
    <col min="47" max="49" width="11.421875" style="62" customWidth="1"/>
    <col min="50" max="50" width="8.140625" style="62" customWidth="1"/>
    <col min="51" max="53" width="11.421875" style="62" customWidth="1"/>
    <col min="54" max="54" width="9.8515625" style="62" customWidth="1"/>
    <col min="55" max="57" width="11.421875" style="62" customWidth="1"/>
    <col min="58" max="58" width="10.421875" style="62" customWidth="1"/>
    <col min="59" max="59" width="12.140625" style="62" customWidth="1"/>
    <col min="60" max="60" width="8.00390625" style="62" customWidth="1"/>
    <col min="61" max="61" width="10.00390625" style="62" customWidth="1"/>
    <col min="62" max="62" width="11.421875" style="62" customWidth="1"/>
    <col min="63" max="63" width="13.28125" style="62" customWidth="1"/>
    <col min="64" max="64" width="3.7109375" style="417" customWidth="1"/>
    <col min="65" max="67" width="11.421875" style="64" customWidth="1"/>
    <col min="68" max="68" width="10.00390625" style="136" customWidth="1"/>
    <col min="69" max="69" width="13.00390625" style="62" customWidth="1"/>
    <col min="70" max="70" width="13.8515625" style="62" customWidth="1"/>
    <col min="71" max="71" width="11.421875" style="62" customWidth="1"/>
    <col min="72" max="72" width="11.421875" style="136" customWidth="1"/>
    <col min="73" max="75" width="11.421875" style="62" customWidth="1"/>
    <col min="76" max="76" width="11.421875" style="136" customWidth="1"/>
    <col min="77" max="79" width="11.421875" style="62" customWidth="1"/>
    <col min="80" max="80" width="11.00390625" style="49" customWidth="1"/>
    <col min="81" max="81" width="13.8515625" style="129" bestFit="1" customWidth="1"/>
    <col min="82" max="82" width="14.421875" style="49" customWidth="1"/>
    <col min="83" max="83" width="11.421875" style="49" customWidth="1"/>
    <col min="84" max="84" width="23.28125" style="4" customWidth="1"/>
    <col min="85" max="16384" width="11.421875" style="4" customWidth="1"/>
  </cols>
  <sheetData>
    <row r="1" spans="2:50" ht="18.75" customHeight="1">
      <c r="B1" s="146" t="s">
        <v>32</v>
      </c>
      <c r="C1" s="113"/>
      <c r="D1" s="113"/>
      <c r="E1" s="5"/>
      <c r="F1" s="5"/>
      <c r="G1" s="5"/>
      <c r="H1" s="5"/>
      <c r="I1" s="39"/>
      <c r="J1" s="39"/>
      <c r="K1" s="5"/>
      <c r="L1" s="5"/>
      <c r="M1" s="5"/>
      <c r="N1" s="5"/>
      <c r="O1" s="5"/>
      <c r="P1" s="5"/>
      <c r="Q1" s="5"/>
      <c r="R1" s="5"/>
      <c r="S1" s="5"/>
      <c r="AW1" s="63"/>
      <c r="AX1" s="63"/>
    </row>
    <row r="2" spans="2:22" ht="12" thickBot="1">
      <c r="B2" s="146" t="s">
        <v>0</v>
      </c>
      <c r="C2" s="113"/>
      <c r="D2" s="113"/>
      <c r="E2" s="5"/>
      <c r="F2" s="5"/>
      <c r="G2" s="5"/>
      <c r="H2" s="5"/>
      <c r="I2" s="39"/>
      <c r="J2" s="39"/>
      <c r="K2" s="5"/>
      <c r="L2" s="5"/>
      <c r="M2" s="5"/>
      <c r="N2" s="5"/>
      <c r="O2" s="5"/>
      <c r="P2" s="5"/>
      <c r="Q2" s="5"/>
      <c r="R2" s="5"/>
      <c r="S2" s="5"/>
      <c r="V2" s="4" t="s">
        <v>1</v>
      </c>
    </row>
    <row r="3" spans="1:61" ht="22.5" customHeight="1">
      <c r="A3" s="6"/>
      <c r="B3" s="1471" t="s">
        <v>316</v>
      </c>
      <c r="C3" s="1472"/>
      <c r="D3" s="1472"/>
      <c r="E3" s="1473"/>
      <c r="F3" s="55"/>
      <c r="G3" s="55"/>
      <c r="H3" s="7"/>
      <c r="I3" s="40"/>
      <c r="J3" s="40"/>
      <c r="K3" s="7"/>
      <c r="L3" s="7"/>
      <c r="M3" s="7"/>
      <c r="N3" s="7"/>
      <c r="O3" s="7"/>
      <c r="P3" s="7"/>
      <c r="Q3" s="7"/>
      <c r="R3" s="7"/>
      <c r="S3" s="8"/>
      <c r="AV3" s="62">
        <f>+Y119</f>
        <v>0</v>
      </c>
      <c r="AW3" s="62">
        <f aca="true" t="shared" si="0" ref="AW3:BH3">+$AV$3</f>
        <v>0</v>
      </c>
      <c r="AY3" s="62">
        <f t="shared" si="0"/>
        <v>0</v>
      </c>
      <c r="AZ3" s="62">
        <f t="shared" si="0"/>
        <v>0</v>
      </c>
      <c r="BA3" s="62">
        <f t="shared" si="0"/>
        <v>0</v>
      </c>
      <c r="BC3" s="62">
        <f t="shared" si="0"/>
        <v>0</v>
      </c>
      <c r="BD3" s="62">
        <f t="shared" si="0"/>
        <v>0</v>
      </c>
      <c r="BE3" s="62">
        <f t="shared" si="0"/>
        <v>0</v>
      </c>
      <c r="BG3" s="62">
        <f t="shared" si="0"/>
        <v>0</v>
      </c>
      <c r="BH3" s="62">
        <f t="shared" si="0"/>
        <v>0</v>
      </c>
      <c r="BI3" s="62">
        <f>+$AV$3</f>
        <v>0</v>
      </c>
    </row>
    <row r="4" spans="1:27" ht="11.25">
      <c r="A4" s="6"/>
      <c r="B4" s="51" t="s">
        <v>2</v>
      </c>
      <c r="C4" s="114"/>
      <c r="D4" s="114"/>
      <c r="E4" s="13"/>
      <c r="F4" s="13"/>
      <c r="G4" s="13"/>
      <c r="H4" s="9"/>
      <c r="I4" s="41"/>
      <c r="J4" s="42"/>
      <c r="K4" s="9"/>
      <c r="L4" s="9"/>
      <c r="M4" s="9"/>
      <c r="N4" s="9"/>
      <c r="O4" s="9"/>
      <c r="P4" s="9"/>
      <c r="Q4" s="9"/>
      <c r="R4" s="9"/>
      <c r="S4" s="11"/>
      <c r="AA4" s="137"/>
    </row>
    <row r="5" spans="1:45" ht="11.25">
      <c r="A5" s="6"/>
      <c r="B5" s="51" t="s">
        <v>33</v>
      </c>
      <c r="C5" s="115"/>
      <c r="D5" s="114"/>
      <c r="E5" s="13"/>
      <c r="F5" s="13"/>
      <c r="G5" s="13"/>
      <c r="H5" s="30" t="s">
        <v>34</v>
      </c>
      <c r="I5" s="41"/>
      <c r="J5" s="41"/>
      <c r="K5" s="9"/>
      <c r="L5" s="9"/>
      <c r="M5" s="9"/>
      <c r="N5" s="9"/>
      <c r="O5" s="9"/>
      <c r="P5" s="9"/>
      <c r="Q5" s="10"/>
      <c r="R5" s="9"/>
      <c r="S5" s="11"/>
      <c r="AS5" s="65"/>
    </row>
    <row r="6" spans="2:23" ht="4.5" customHeight="1" thickBot="1">
      <c r="B6" s="52"/>
      <c r="C6" s="116"/>
      <c r="D6" s="116"/>
      <c r="E6" s="53"/>
      <c r="F6" s="53"/>
      <c r="G6" s="53"/>
      <c r="H6" s="15"/>
      <c r="I6" s="43"/>
      <c r="J6" s="43"/>
      <c r="K6" s="15"/>
      <c r="L6" s="15"/>
      <c r="M6" s="15"/>
      <c r="N6" s="15"/>
      <c r="O6" s="15"/>
      <c r="P6" s="15"/>
      <c r="Q6" s="15"/>
      <c r="R6" s="15"/>
      <c r="S6" s="16"/>
      <c r="W6" s="4" t="s">
        <v>3</v>
      </c>
    </row>
    <row r="7" spans="2:19" ht="3.75" customHeight="1">
      <c r="B7" s="147"/>
      <c r="C7" s="117"/>
      <c r="D7" s="117"/>
      <c r="E7" s="17"/>
      <c r="F7" s="17"/>
      <c r="G7" s="17"/>
      <c r="H7" s="17"/>
      <c r="I7" s="44"/>
      <c r="J7" s="44"/>
      <c r="K7" s="17"/>
      <c r="L7" s="17"/>
      <c r="M7" s="17"/>
      <c r="N7" s="17"/>
      <c r="O7" s="17"/>
      <c r="P7" s="17"/>
      <c r="Q7" s="17"/>
      <c r="R7" s="17"/>
      <c r="S7" s="17"/>
    </row>
    <row r="8" spans="1:84" ht="11.25">
      <c r="A8" s="3"/>
      <c r="B8" s="155">
        <v>1</v>
      </c>
      <c r="C8" s="156">
        <v>2</v>
      </c>
      <c r="D8" s="156">
        <v>3</v>
      </c>
      <c r="E8" s="157">
        <v>6</v>
      </c>
      <c r="F8" s="157">
        <v>7</v>
      </c>
      <c r="G8" s="157"/>
      <c r="H8" s="157">
        <v>9</v>
      </c>
      <c r="I8" s="158">
        <v>10</v>
      </c>
      <c r="J8" s="158">
        <v>11</v>
      </c>
      <c r="K8" s="157">
        <v>12</v>
      </c>
      <c r="L8" s="159">
        <v>13</v>
      </c>
      <c r="M8" s="159"/>
      <c r="N8" s="159"/>
      <c r="O8" s="159"/>
      <c r="P8" s="159"/>
      <c r="Q8" s="159"/>
      <c r="R8" s="159"/>
      <c r="S8" s="159"/>
      <c r="T8" s="159"/>
      <c r="U8" s="159"/>
      <c r="V8" s="159"/>
      <c r="W8" s="159"/>
      <c r="X8" s="157">
        <v>14</v>
      </c>
      <c r="Y8" s="160">
        <v>15</v>
      </c>
      <c r="Z8" s="158">
        <v>16</v>
      </c>
      <c r="AA8" s="158"/>
      <c r="AB8" s="158"/>
      <c r="AC8" s="158"/>
      <c r="AD8" s="158"/>
      <c r="AE8" s="158"/>
      <c r="AF8" s="158"/>
      <c r="AG8" s="158"/>
      <c r="AH8" s="158"/>
      <c r="AI8" s="158"/>
      <c r="AJ8" s="451"/>
      <c r="AK8" s="158"/>
      <c r="AL8" s="162"/>
      <c r="AM8" s="158"/>
      <c r="AN8" s="158"/>
      <c r="AO8" s="158"/>
      <c r="AP8" s="158"/>
      <c r="AQ8" s="158">
        <v>17</v>
      </c>
      <c r="AR8" s="558"/>
      <c r="AS8" s="158">
        <v>21</v>
      </c>
      <c r="AT8" s="161"/>
      <c r="AU8" s="158"/>
      <c r="AV8" s="162"/>
      <c r="AW8" s="162"/>
      <c r="AX8" s="162"/>
      <c r="AY8" s="162"/>
      <c r="AZ8" s="162"/>
      <c r="BA8" s="162"/>
      <c r="BB8" s="162"/>
      <c r="BC8" s="162"/>
      <c r="BD8" s="162"/>
      <c r="BE8" s="162"/>
      <c r="BF8" s="162"/>
      <c r="BG8" s="162"/>
      <c r="BH8" s="162"/>
      <c r="BI8" s="162"/>
      <c r="BJ8" s="162"/>
      <c r="BK8" s="162">
        <v>14</v>
      </c>
      <c r="BL8" s="420">
        <v>15</v>
      </c>
      <c r="BM8" s="158">
        <v>16</v>
      </c>
      <c r="BN8" s="158"/>
      <c r="BO8" s="158"/>
      <c r="BP8" s="370"/>
      <c r="BQ8" s="158"/>
      <c r="BR8" s="158"/>
      <c r="BS8" s="158"/>
      <c r="BT8" s="370"/>
      <c r="BU8" s="158"/>
      <c r="BV8" s="158"/>
      <c r="BW8" s="158"/>
      <c r="BX8" s="370"/>
      <c r="BY8" s="158"/>
      <c r="BZ8" s="158"/>
      <c r="CA8" s="158"/>
      <c r="CB8" s="158"/>
      <c r="CC8" s="163">
        <v>17</v>
      </c>
      <c r="CD8" s="158"/>
      <c r="CE8" s="158"/>
      <c r="CF8" s="157">
        <v>21</v>
      </c>
    </row>
    <row r="9" spans="2:84" ht="12" customHeight="1" thickBot="1">
      <c r="B9" s="164" t="s">
        <v>4</v>
      </c>
      <c r="C9" s="165"/>
      <c r="D9" s="165"/>
      <c r="E9" s="166"/>
      <c r="F9" s="166"/>
      <c r="G9" s="166"/>
      <c r="H9" s="166"/>
      <c r="I9" s="166"/>
      <c r="J9" s="166"/>
      <c r="K9" s="166"/>
      <c r="L9" s="167"/>
      <c r="M9" s="167"/>
      <c r="N9" s="167" t="s">
        <v>5</v>
      </c>
      <c r="O9" s="167"/>
      <c r="P9" s="167"/>
      <c r="Q9" s="167"/>
      <c r="R9" s="167"/>
      <c r="S9" s="167"/>
      <c r="T9" s="167"/>
      <c r="U9" s="167"/>
      <c r="V9" s="167"/>
      <c r="W9" s="167"/>
      <c r="X9" s="167"/>
      <c r="Y9" s="168"/>
      <c r="Z9" s="397"/>
      <c r="AA9" s="397"/>
      <c r="AB9" s="397"/>
      <c r="AC9" s="397"/>
      <c r="AD9" s="397"/>
      <c r="AE9" s="397"/>
      <c r="AF9" s="397"/>
      <c r="AG9" s="398"/>
      <c r="AH9" s="397"/>
      <c r="AI9" s="397"/>
      <c r="AJ9" s="452"/>
      <c r="AK9" s="397"/>
      <c r="AL9" s="583"/>
      <c r="AM9" s="397"/>
      <c r="AN9" s="397"/>
      <c r="AO9" s="397"/>
      <c r="AP9" s="397"/>
      <c r="AQ9" s="169"/>
      <c r="AR9" s="559"/>
      <c r="AS9" s="169"/>
      <c r="AT9" s="161"/>
      <c r="AU9" s="171"/>
      <c r="AV9" s="171"/>
      <c r="AW9" s="171"/>
      <c r="AX9" s="171"/>
      <c r="AY9" s="171"/>
      <c r="AZ9" s="171"/>
      <c r="BA9" s="171"/>
      <c r="BB9" s="171"/>
      <c r="BC9" s="171"/>
      <c r="BD9" s="171"/>
      <c r="BE9" s="171"/>
      <c r="BF9" s="171"/>
      <c r="BG9" s="171"/>
      <c r="BH9" s="171"/>
      <c r="BI9" s="171"/>
      <c r="BJ9" s="171"/>
      <c r="BK9" s="171"/>
      <c r="BL9" s="421"/>
      <c r="BM9" s="169"/>
      <c r="BN9" s="169"/>
      <c r="BO9" s="169"/>
      <c r="BP9" s="281"/>
      <c r="BQ9" s="169"/>
      <c r="BR9" s="169" t="s">
        <v>6</v>
      </c>
      <c r="BS9" s="169"/>
      <c r="BT9" s="281"/>
      <c r="BU9" s="169"/>
      <c r="BV9" s="169"/>
      <c r="BW9" s="169"/>
      <c r="BX9" s="281"/>
      <c r="BY9" s="169"/>
      <c r="BZ9" s="169"/>
      <c r="CA9" s="169"/>
      <c r="CB9" s="169"/>
      <c r="CC9" s="1474" t="s">
        <v>287</v>
      </c>
      <c r="CD9" s="1416" t="s">
        <v>253</v>
      </c>
      <c r="CE9" s="1412" t="s">
        <v>19</v>
      </c>
      <c r="CF9" s="1412" t="s">
        <v>20</v>
      </c>
    </row>
    <row r="10" spans="2:84" ht="30.75" customHeight="1" thickBot="1">
      <c r="B10" s="1422" t="s">
        <v>7</v>
      </c>
      <c r="C10" s="1423" t="s">
        <v>8</v>
      </c>
      <c r="D10" s="1423" t="s">
        <v>9</v>
      </c>
      <c r="E10" s="1468" t="s">
        <v>10</v>
      </c>
      <c r="F10" s="1424" t="s">
        <v>11</v>
      </c>
      <c r="G10" s="1424" t="s">
        <v>12</v>
      </c>
      <c r="H10" s="1424" t="s">
        <v>13</v>
      </c>
      <c r="I10" s="1417" t="s">
        <v>14</v>
      </c>
      <c r="J10" s="1417" t="s">
        <v>15</v>
      </c>
      <c r="K10" s="1417" t="s">
        <v>16</v>
      </c>
      <c r="L10" s="172"/>
      <c r="M10" s="172"/>
      <c r="N10" s="172"/>
      <c r="O10" s="172"/>
      <c r="P10" s="172"/>
      <c r="Q10" s="1418" t="s">
        <v>280</v>
      </c>
      <c r="R10" s="1418"/>
      <c r="S10" s="1418"/>
      <c r="T10" s="1418"/>
      <c r="U10" s="1418"/>
      <c r="V10" s="172"/>
      <c r="W10" s="172"/>
      <c r="X10" s="1418" t="s">
        <v>289</v>
      </c>
      <c r="Y10" s="1470" t="s">
        <v>17</v>
      </c>
      <c r="Z10" s="402"/>
      <c r="AA10" s="403"/>
      <c r="AB10" s="403"/>
      <c r="AC10" s="404"/>
      <c r="AD10" s="403"/>
      <c r="AE10" s="403"/>
      <c r="AF10" s="405" t="s">
        <v>18</v>
      </c>
      <c r="AG10" s="405"/>
      <c r="AH10" s="405"/>
      <c r="AI10" s="405"/>
      <c r="AJ10" s="453"/>
      <c r="AK10" s="403"/>
      <c r="AL10" s="584"/>
      <c r="AM10" s="403"/>
      <c r="AN10" s="403"/>
      <c r="AO10" s="403"/>
      <c r="AP10" s="406"/>
      <c r="AQ10" s="396" t="s">
        <v>282</v>
      </c>
      <c r="AR10" s="560" t="s">
        <v>19</v>
      </c>
      <c r="AS10" s="176" t="s">
        <v>20</v>
      </c>
      <c r="AT10" s="161"/>
      <c r="AU10" s="177"/>
      <c r="AV10" s="177"/>
      <c r="AW10" s="177"/>
      <c r="AX10" s="177"/>
      <c r="AY10" s="177"/>
      <c r="AZ10" s="1413" t="s">
        <v>283</v>
      </c>
      <c r="BA10" s="1413"/>
      <c r="BB10" s="1413"/>
      <c r="BC10" s="1413"/>
      <c r="BD10" s="1413"/>
      <c r="BE10" s="177"/>
      <c r="BF10" s="177"/>
      <c r="BG10" s="177"/>
      <c r="BH10" s="177"/>
      <c r="BI10" s="177"/>
      <c r="BJ10" s="177"/>
      <c r="BK10" s="1413" t="s">
        <v>284</v>
      </c>
      <c r="BL10" s="1414" t="s">
        <v>285</v>
      </c>
      <c r="BM10" s="173"/>
      <c r="BN10" s="173"/>
      <c r="BO10" s="173"/>
      <c r="BP10" s="178"/>
      <c r="BQ10" s="173"/>
      <c r="BR10" s="178"/>
      <c r="BS10" s="178" t="s">
        <v>376</v>
      </c>
      <c r="BT10" s="178"/>
      <c r="BU10" s="173"/>
      <c r="BV10" s="173"/>
      <c r="BW10" s="173"/>
      <c r="BX10" s="178"/>
      <c r="BY10" s="173"/>
      <c r="BZ10" s="173"/>
      <c r="CA10" s="173"/>
      <c r="CB10" s="173"/>
      <c r="CC10" s="1474"/>
      <c r="CD10" s="1416"/>
      <c r="CE10" s="1412"/>
      <c r="CF10" s="1412"/>
    </row>
    <row r="11" spans="2:84" ht="51" customHeight="1">
      <c r="B11" s="1422"/>
      <c r="C11" s="1423"/>
      <c r="D11" s="1423"/>
      <c r="E11" s="1469"/>
      <c r="F11" s="1424"/>
      <c r="G11" s="1424"/>
      <c r="H11" s="1424"/>
      <c r="I11" s="1417"/>
      <c r="J11" s="1417"/>
      <c r="K11" s="1417"/>
      <c r="L11" s="179" t="s">
        <v>212</v>
      </c>
      <c r="M11" s="179" t="s">
        <v>213</v>
      </c>
      <c r="N11" s="179" t="s">
        <v>214</v>
      </c>
      <c r="O11" s="179" t="s">
        <v>215</v>
      </c>
      <c r="P11" s="179" t="s">
        <v>216</v>
      </c>
      <c r="Q11" s="179" t="s">
        <v>217</v>
      </c>
      <c r="R11" s="179" t="s">
        <v>218</v>
      </c>
      <c r="S11" s="179" t="s">
        <v>219</v>
      </c>
      <c r="T11" s="179" t="s">
        <v>220</v>
      </c>
      <c r="U11" s="179" t="s">
        <v>221</v>
      </c>
      <c r="V11" s="179" t="s">
        <v>222</v>
      </c>
      <c r="W11" s="179" t="s">
        <v>223</v>
      </c>
      <c r="X11" s="1418"/>
      <c r="Y11" s="1463"/>
      <c r="Z11" s="399" t="s">
        <v>212</v>
      </c>
      <c r="AA11" s="399" t="s">
        <v>213</v>
      </c>
      <c r="AB11" s="399" t="s">
        <v>214</v>
      </c>
      <c r="AC11" s="400" t="s">
        <v>195</v>
      </c>
      <c r="AD11" s="399" t="s">
        <v>215</v>
      </c>
      <c r="AE11" s="399" t="s">
        <v>216</v>
      </c>
      <c r="AF11" s="399" t="s">
        <v>217</v>
      </c>
      <c r="AG11" s="401" t="s">
        <v>193</v>
      </c>
      <c r="AH11" s="399" t="s">
        <v>218</v>
      </c>
      <c r="AI11" s="399" t="s">
        <v>219</v>
      </c>
      <c r="AJ11" s="454" t="s">
        <v>220</v>
      </c>
      <c r="AK11" s="401" t="s">
        <v>194</v>
      </c>
      <c r="AL11" s="585"/>
      <c r="AM11" s="399" t="s">
        <v>221</v>
      </c>
      <c r="AN11" s="399" t="s">
        <v>222</v>
      </c>
      <c r="AO11" s="399" t="s">
        <v>223</v>
      </c>
      <c r="AP11" s="401" t="s">
        <v>196</v>
      </c>
      <c r="AQ11" s="176"/>
      <c r="AR11" s="560"/>
      <c r="AS11" s="181"/>
      <c r="AT11" s="161"/>
      <c r="AU11" s="179" t="s">
        <v>212</v>
      </c>
      <c r="AV11" s="179" t="s">
        <v>213</v>
      </c>
      <c r="AW11" s="179" t="s">
        <v>214</v>
      </c>
      <c r="AX11" s="285" t="s">
        <v>366</v>
      </c>
      <c r="AY11" s="179" t="s">
        <v>215</v>
      </c>
      <c r="AZ11" s="179" t="s">
        <v>216</v>
      </c>
      <c r="BA11" s="179" t="s">
        <v>217</v>
      </c>
      <c r="BB11" s="285" t="s">
        <v>367</v>
      </c>
      <c r="BC11" s="179" t="s">
        <v>218</v>
      </c>
      <c r="BD11" s="179" t="s">
        <v>219</v>
      </c>
      <c r="BE11" s="179" t="s">
        <v>220</v>
      </c>
      <c r="BF11" s="285" t="s">
        <v>372</v>
      </c>
      <c r="BG11" s="179" t="s">
        <v>221</v>
      </c>
      <c r="BH11" s="179" t="s">
        <v>222</v>
      </c>
      <c r="BI11" s="179" t="s">
        <v>223</v>
      </c>
      <c r="BJ11" s="285" t="s">
        <v>374</v>
      </c>
      <c r="BK11" s="1413"/>
      <c r="BL11" s="1414"/>
      <c r="BM11" s="179" t="s">
        <v>212</v>
      </c>
      <c r="BN11" s="179" t="s">
        <v>213</v>
      </c>
      <c r="BO11" s="179" t="s">
        <v>214</v>
      </c>
      <c r="BP11" s="182" t="s">
        <v>195</v>
      </c>
      <c r="BQ11" s="179" t="s">
        <v>215</v>
      </c>
      <c r="BR11" s="179" t="s">
        <v>216</v>
      </c>
      <c r="BS11" s="179" t="s">
        <v>217</v>
      </c>
      <c r="BT11" s="286" t="s">
        <v>193</v>
      </c>
      <c r="BU11" s="179" t="s">
        <v>218</v>
      </c>
      <c r="BV11" s="179" t="s">
        <v>219</v>
      </c>
      <c r="BW11" s="179" t="s">
        <v>220</v>
      </c>
      <c r="BX11" s="286" t="s">
        <v>194</v>
      </c>
      <c r="BY11" s="179" t="s">
        <v>221</v>
      </c>
      <c r="BZ11" s="179" t="s">
        <v>222</v>
      </c>
      <c r="CA11" s="179" t="s">
        <v>223</v>
      </c>
      <c r="CB11" s="90" t="s">
        <v>196</v>
      </c>
      <c r="CC11" s="1474"/>
      <c r="CD11" s="1416"/>
      <c r="CE11" s="1412"/>
      <c r="CF11" s="1412"/>
    </row>
    <row r="12" spans="1:84" ht="12" customHeight="1">
      <c r="A12" s="4">
        <v>1</v>
      </c>
      <c r="B12" s="183" t="s">
        <v>21</v>
      </c>
      <c r="C12" s="184"/>
      <c r="D12" s="184"/>
      <c r="E12" s="183"/>
      <c r="F12" s="183"/>
      <c r="G12" s="183"/>
      <c r="H12" s="183"/>
      <c r="I12" s="183"/>
      <c r="J12" s="183"/>
      <c r="K12" s="183"/>
      <c r="L12" s="183"/>
      <c r="M12" s="183"/>
      <c r="N12" s="183"/>
      <c r="O12" s="183"/>
      <c r="P12" s="183"/>
      <c r="Q12" s="183"/>
      <c r="R12" s="183"/>
      <c r="S12" s="183"/>
      <c r="T12" s="183"/>
      <c r="U12" s="183"/>
      <c r="V12" s="183"/>
      <c r="W12" s="183"/>
      <c r="X12" s="183"/>
      <c r="Y12" s="185"/>
      <c r="Z12" s="184"/>
      <c r="AA12" s="184"/>
      <c r="AB12" s="184"/>
      <c r="AC12" s="186"/>
      <c r="AD12" s="184"/>
      <c r="AE12" s="184"/>
      <c r="AF12" s="184"/>
      <c r="AG12" s="187"/>
      <c r="AH12" s="184"/>
      <c r="AI12" s="184"/>
      <c r="AJ12" s="455"/>
      <c r="AK12" s="187"/>
      <c r="AL12" s="586"/>
      <c r="AM12" s="184"/>
      <c r="AN12" s="184"/>
      <c r="AO12" s="184"/>
      <c r="AP12" s="187"/>
      <c r="AQ12" s="184"/>
      <c r="AR12" s="561"/>
      <c r="AS12" s="184"/>
      <c r="AT12" s="161"/>
      <c r="AU12" s="184"/>
      <c r="AV12" s="184"/>
      <c r="AW12" s="184"/>
      <c r="AX12" s="184"/>
      <c r="AY12" s="184"/>
      <c r="AZ12" s="184"/>
      <c r="BA12" s="184"/>
      <c r="BB12" s="184"/>
      <c r="BC12" s="184"/>
      <c r="BD12" s="184"/>
      <c r="BE12" s="184"/>
      <c r="BF12" s="184"/>
      <c r="BG12" s="184"/>
      <c r="BH12" s="184"/>
      <c r="BI12" s="184"/>
      <c r="BJ12" s="184"/>
      <c r="BK12" s="184"/>
      <c r="BL12" s="422"/>
      <c r="BM12" s="184"/>
      <c r="BN12" s="184"/>
      <c r="BO12" s="184"/>
      <c r="BP12" s="295"/>
      <c r="BQ12" s="184"/>
      <c r="BR12" s="184"/>
      <c r="BS12" s="184"/>
      <c r="BT12" s="296"/>
      <c r="BU12" s="184"/>
      <c r="BV12" s="184"/>
      <c r="BW12" s="184"/>
      <c r="BX12" s="296"/>
      <c r="BY12" s="184"/>
      <c r="BZ12" s="184"/>
      <c r="CA12" s="184"/>
      <c r="CB12" s="188"/>
      <c r="CC12" s="189"/>
      <c r="CD12" s="184"/>
      <c r="CE12" s="184"/>
      <c r="CF12" s="183"/>
    </row>
    <row r="13" spans="2:84" ht="86.25" customHeight="1" thickBot="1">
      <c r="B13" s="190" t="s">
        <v>199</v>
      </c>
      <c r="C13" s="191" t="s">
        <v>200</v>
      </c>
      <c r="D13" s="192" t="s">
        <v>198</v>
      </c>
      <c r="E13" s="539" t="s">
        <v>53</v>
      </c>
      <c r="F13" s="539" t="s">
        <v>208</v>
      </c>
      <c r="G13" s="539" t="s">
        <v>209</v>
      </c>
      <c r="H13" s="79" t="s">
        <v>54</v>
      </c>
      <c r="I13" s="543">
        <v>0</v>
      </c>
      <c r="J13" s="543">
        <v>10</v>
      </c>
      <c r="K13" s="193" t="s">
        <v>55</v>
      </c>
      <c r="L13" s="194">
        <v>1</v>
      </c>
      <c r="M13" s="194">
        <v>1</v>
      </c>
      <c r="N13" s="194">
        <v>1</v>
      </c>
      <c r="O13" s="194">
        <v>1</v>
      </c>
      <c r="P13" s="194">
        <v>1</v>
      </c>
      <c r="Q13" s="194">
        <v>1</v>
      </c>
      <c r="R13" s="194">
        <v>1</v>
      </c>
      <c r="S13" s="194">
        <v>1</v>
      </c>
      <c r="T13" s="194">
        <v>1</v>
      </c>
      <c r="U13" s="194">
        <v>1</v>
      </c>
      <c r="V13" s="194">
        <v>1</v>
      </c>
      <c r="W13" s="194">
        <v>0</v>
      </c>
      <c r="X13" s="194">
        <f>SUM(L13:W13)</f>
        <v>11</v>
      </c>
      <c r="Y13" s="390">
        <f>+BK13</f>
        <v>0</v>
      </c>
      <c r="Z13" s="196">
        <v>1</v>
      </c>
      <c r="AA13" s="196">
        <v>1</v>
      </c>
      <c r="AB13" s="196">
        <v>1</v>
      </c>
      <c r="AC13" s="197">
        <f>(Z13+AA13+AB13)/(+L13+M13+N13)</f>
        <v>1</v>
      </c>
      <c r="AD13" s="196">
        <v>1</v>
      </c>
      <c r="AE13" s="196">
        <v>1</v>
      </c>
      <c r="AF13" s="196">
        <v>1</v>
      </c>
      <c r="AG13" s="197">
        <f>(AD13+AE13+AF13)/(+P13+Q13+R13)</f>
        <v>1</v>
      </c>
      <c r="AH13" s="196">
        <v>1</v>
      </c>
      <c r="AI13" s="196">
        <v>1</v>
      </c>
      <c r="AJ13" s="456">
        <v>1</v>
      </c>
      <c r="AK13" s="197">
        <f>(AH13+AI13+AJ13)/(+T13+U13+V13)</f>
        <v>1</v>
      </c>
      <c r="AL13" s="587"/>
      <c r="AM13" s="196">
        <v>1</v>
      </c>
      <c r="AN13" s="196"/>
      <c r="AO13" s="196"/>
      <c r="AP13" s="197">
        <f>(AM13+AN13+AO13)/(+X13+Y13+Z13)</f>
        <v>0.08333333333333333</v>
      </c>
      <c r="AQ13" s="83">
        <f>+AO13+AN13+AM13+AJ13+AI13+AH13+AF13+AE13+AD13+AB13+AA13+Z13</f>
        <v>10</v>
      </c>
      <c r="AR13" s="562" t="s">
        <v>57</v>
      </c>
      <c r="AS13" s="198" t="s">
        <v>56</v>
      </c>
      <c r="AT13" s="161"/>
      <c r="AU13" s="199">
        <v>0</v>
      </c>
      <c r="AV13" s="199">
        <v>0</v>
      </c>
      <c r="AW13" s="199">
        <v>0</v>
      </c>
      <c r="AX13" s="199">
        <f>SUM(AU13:AW13)</f>
        <v>0</v>
      </c>
      <c r="AY13" s="199">
        <v>0</v>
      </c>
      <c r="AZ13" s="199">
        <v>0</v>
      </c>
      <c r="BA13" s="199">
        <v>0</v>
      </c>
      <c r="BB13" s="199">
        <f>SUM(AY13:BA13)</f>
        <v>0</v>
      </c>
      <c r="BC13" s="199">
        <v>0</v>
      </c>
      <c r="BD13" s="199">
        <v>0</v>
      </c>
      <c r="BE13" s="199">
        <v>0</v>
      </c>
      <c r="BF13" s="199">
        <f>SUM(BC13:BE13)</f>
        <v>0</v>
      </c>
      <c r="BG13" s="199">
        <v>0</v>
      </c>
      <c r="BH13" s="199">
        <v>0</v>
      </c>
      <c r="BI13" s="199">
        <v>0</v>
      </c>
      <c r="BJ13" s="199">
        <f>SUM(BG13:BI13)</f>
        <v>0</v>
      </c>
      <c r="BK13" s="199">
        <f>SUM(AU13:BI13)</f>
        <v>0</v>
      </c>
      <c r="BL13" s="423"/>
      <c r="BM13" s="110">
        <v>0</v>
      </c>
      <c r="BN13" s="110">
        <v>0</v>
      </c>
      <c r="BO13" s="110">
        <v>0</v>
      </c>
      <c r="BP13" s="273">
        <v>0</v>
      </c>
      <c r="BQ13" s="71">
        <v>0</v>
      </c>
      <c r="BR13" s="71">
        <v>0</v>
      </c>
      <c r="BS13" s="71">
        <v>0</v>
      </c>
      <c r="BT13" s="273">
        <v>0</v>
      </c>
      <c r="BU13" s="71">
        <v>0</v>
      </c>
      <c r="BV13" s="71">
        <v>0</v>
      </c>
      <c r="BW13" s="71">
        <v>0</v>
      </c>
      <c r="BX13" s="273">
        <v>0</v>
      </c>
      <c r="BY13" s="71">
        <v>0</v>
      </c>
      <c r="BZ13" s="71">
        <v>0</v>
      </c>
      <c r="CA13" s="71">
        <v>0</v>
      </c>
      <c r="CB13" s="581" t="e">
        <f>+(BY13+BZ13+CA13)/(BG13+BH13+BI13)</f>
        <v>#DIV/0!</v>
      </c>
      <c r="CC13" s="201">
        <f>+BM13+BN13+BO13+BQ13+BR13+BS13+BU13+BV13+BW13+BY13+BZ13+CA13</f>
        <v>0</v>
      </c>
      <c r="CD13" s="202"/>
      <c r="CE13" s="96" t="s">
        <v>57</v>
      </c>
      <c r="CF13" s="203" t="s">
        <v>365</v>
      </c>
    </row>
    <row r="14" spans="2:84" ht="12" thickBot="1">
      <c r="B14" s="204"/>
      <c r="C14" s="205"/>
      <c r="D14" s="205"/>
      <c r="E14" s="33"/>
      <c r="F14" s="33"/>
      <c r="G14" s="33"/>
      <c r="H14" s="33"/>
      <c r="I14" s="111"/>
      <c r="J14" s="111"/>
      <c r="K14" s="33"/>
      <c r="L14" s="206"/>
      <c r="M14" s="206"/>
      <c r="N14" s="206"/>
      <c r="O14" s="206"/>
      <c r="P14" s="206"/>
      <c r="Q14" s="206"/>
      <c r="R14" s="206"/>
      <c r="S14" s="206"/>
      <c r="T14" s="1433" t="s">
        <v>333</v>
      </c>
      <c r="U14" s="1434"/>
      <c r="V14" s="1434"/>
      <c r="W14" s="1434"/>
      <c r="X14" s="1435"/>
      <c r="Y14" s="153">
        <v>0</v>
      </c>
      <c r="Z14" s="391"/>
      <c r="AA14" s="111"/>
      <c r="AB14" s="111"/>
      <c r="AC14" s="207"/>
      <c r="AD14" s="111"/>
      <c r="AE14" s="111"/>
      <c r="AF14" s="111"/>
      <c r="AG14" s="111"/>
      <c r="AH14" s="111"/>
      <c r="AI14" s="111"/>
      <c r="AJ14" s="457"/>
      <c r="AK14" s="111"/>
      <c r="AL14" s="71"/>
      <c r="AM14" s="111"/>
      <c r="AN14" s="111"/>
      <c r="AO14" s="111"/>
      <c r="AP14" s="111"/>
      <c r="AQ14" s="111"/>
      <c r="AR14" s="563"/>
      <c r="AS14" s="111"/>
      <c r="AT14" s="161"/>
      <c r="AU14" s="208">
        <f>SUM(AU13)</f>
        <v>0</v>
      </c>
      <c r="AV14" s="208">
        <f aca="true" t="shared" si="1" ref="AV14:CA14">SUM(AV13)</f>
        <v>0</v>
      </c>
      <c r="AW14" s="208">
        <f t="shared" si="1"/>
        <v>0</v>
      </c>
      <c r="AX14" s="208">
        <f t="shared" si="1"/>
        <v>0</v>
      </c>
      <c r="AY14" s="208">
        <f t="shared" si="1"/>
        <v>0</v>
      </c>
      <c r="AZ14" s="208">
        <f t="shared" si="1"/>
        <v>0</v>
      </c>
      <c r="BA14" s="208">
        <f t="shared" si="1"/>
        <v>0</v>
      </c>
      <c r="BB14" s="208">
        <f t="shared" si="1"/>
        <v>0</v>
      </c>
      <c r="BC14" s="208">
        <f t="shared" si="1"/>
        <v>0</v>
      </c>
      <c r="BD14" s="208">
        <f t="shared" si="1"/>
        <v>0</v>
      </c>
      <c r="BE14" s="208">
        <f t="shared" si="1"/>
        <v>0</v>
      </c>
      <c r="BF14" s="208">
        <f t="shared" si="1"/>
        <v>0</v>
      </c>
      <c r="BG14" s="208">
        <f t="shared" si="1"/>
        <v>0</v>
      </c>
      <c r="BH14" s="208">
        <f t="shared" si="1"/>
        <v>0</v>
      </c>
      <c r="BI14" s="208">
        <f t="shared" si="1"/>
        <v>0</v>
      </c>
      <c r="BJ14" s="208">
        <f t="shared" si="1"/>
        <v>0</v>
      </c>
      <c r="BK14" s="208">
        <f t="shared" si="1"/>
        <v>0</v>
      </c>
      <c r="BL14" s="424">
        <f t="shared" si="1"/>
        <v>0</v>
      </c>
      <c r="BM14" s="209">
        <f t="shared" si="1"/>
        <v>0</v>
      </c>
      <c r="BN14" s="209">
        <f t="shared" si="1"/>
        <v>0</v>
      </c>
      <c r="BO14" s="209">
        <f t="shared" si="1"/>
        <v>0</v>
      </c>
      <c r="BP14" s="388">
        <f t="shared" si="1"/>
        <v>0</v>
      </c>
      <c r="BQ14" s="208">
        <f t="shared" si="1"/>
        <v>0</v>
      </c>
      <c r="BR14" s="208">
        <f t="shared" si="1"/>
        <v>0</v>
      </c>
      <c r="BS14" s="208">
        <f t="shared" si="1"/>
        <v>0</v>
      </c>
      <c r="BT14" s="273">
        <f t="shared" si="1"/>
        <v>0</v>
      </c>
      <c r="BU14" s="208">
        <f t="shared" si="1"/>
        <v>0</v>
      </c>
      <c r="BV14" s="208">
        <f t="shared" si="1"/>
        <v>0</v>
      </c>
      <c r="BW14" s="208">
        <f t="shared" si="1"/>
        <v>0</v>
      </c>
      <c r="BX14" s="273">
        <f t="shared" si="1"/>
        <v>0</v>
      </c>
      <c r="BY14" s="208">
        <f t="shared" si="1"/>
        <v>0</v>
      </c>
      <c r="BZ14" s="208">
        <f t="shared" si="1"/>
        <v>0</v>
      </c>
      <c r="CA14" s="208">
        <f t="shared" si="1"/>
        <v>0</v>
      </c>
      <c r="CB14" s="200">
        <v>0</v>
      </c>
      <c r="CC14" s="210">
        <f>SUM(CC13)</f>
        <v>0</v>
      </c>
      <c r="CD14" s="111"/>
      <c r="CE14" s="111"/>
      <c r="CF14" s="206"/>
    </row>
    <row r="15" spans="2:84" ht="11.25">
      <c r="B15" s="204"/>
      <c r="C15" s="205"/>
      <c r="D15" s="205"/>
      <c r="E15" s="33"/>
      <c r="F15" s="33"/>
      <c r="G15" s="33"/>
      <c r="H15" s="33"/>
      <c r="I15" s="111"/>
      <c r="J15" s="111"/>
      <c r="K15" s="33"/>
      <c r="L15" s="206"/>
      <c r="M15" s="206"/>
      <c r="N15" s="206"/>
      <c r="O15" s="206"/>
      <c r="P15" s="206"/>
      <c r="Q15" s="206"/>
      <c r="R15" s="206"/>
      <c r="S15" s="206"/>
      <c r="T15" s="206"/>
      <c r="U15" s="206"/>
      <c r="V15" s="206"/>
      <c r="W15" s="206"/>
      <c r="X15" s="206"/>
      <c r="Y15" s="392"/>
      <c r="Z15" s="111"/>
      <c r="AA15" s="111"/>
      <c r="AB15" s="111"/>
      <c r="AC15" s="207"/>
      <c r="AD15" s="111"/>
      <c r="AE15" s="111"/>
      <c r="AF15" s="111"/>
      <c r="AG15" s="111"/>
      <c r="AH15" s="111"/>
      <c r="AI15" s="111"/>
      <c r="AJ15" s="457"/>
      <c r="AK15" s="111"/>
      <c r="AL15" s="71"/>
      <c r="AM15" s="111"/>
      <c r="AN15" s="111"/>
      <c r="AO15" s="111"/>
      <c r="AP15" s="111"/>
      <c r="AQ15" s="111"/>
      <c r="AR15" s="563"/>
      <c r="AS15" s="111"/>
      <c r="AT15" s="161"/>
      <c r="AU15" s="208"/>
      <c r="AV15" s="208"/>
      <c r="AW15" s="208"/>
      <c r="AX15" s="208"/>
      <c r="AY15" s="208"/>
      <c r="AZ15" s="208"/>
      <c r="BA15" s="208"/>
      <c r="BB15" s="208"/>
      <c r="BC15" s="208"/>
      <c r="BD15" s="208"/>
      <c r="BE15" s="208"/>
      <c r="BF15" s="208"/>
      <c r="BG15" s="208"/>
      <c r="BH15" s="208"/>
      <c r="BI15" s="208"/>
      <c r="BJ15" s="208"/>
      <c r="BK15" s="208"/>
      <c r="BL15" s="424"/>
      <c r="BM15" s="209"/>
      <c r="BN15" s="209"/>
      <c r="BO15" s="209"/>
      <c r="BP15" s="388"/>
      <c r="BQ15" s="208"/>
      <c r="BR15" s="208"/>
      <c r="BS15" s="208"/>
      <c r="BT15" s="273"/>
      <c r="BU15" s="208"/>
      <c r="BV15" s="208"/>
      <c r="BW15" s="208"/>
      <c r="BX15" s="273"/>
      <c r="BY15" s="208"/>
      <c r="BZ15" s="208"/>
      <c r="CA15" s="208"/>
      <c r="CB15" s="200"/>
      <c r="CC15" s="131"/>
      <c r="CD15" s="111"/>
      <c r="CE15" s="111"/>
      <c r="CF15" s="206"/>
    </row>
    <row r="16" spans="2:85" ht="11.25">
      <c r="B16" s="211">
        <v>1</v>
      </c>
      <c r="C16" s="212">
        <v>2</v>
      </c>
      <c r="D16" s="212">
        <v>3</v>
      </c>
      <c r="E16" s="213">
        <v>6</v>
      </c>
      <c r="F16" s="213">
        <v>7</v>
      </c>
      <c r="G16" s="213"/>
      <c r="H16" s="213">
        <v>9</v>
      </c>
      <c r="I16" s="214">
        <v>10</v>
      </c>
      <c r="J16" s="214">
        <v>11</v>
      </c>
      <c r="K16" s="213">
        <v>12</v>
      </c>
      <c r="L16" s="215">
        <v>13</v>
      </c>
      <c r="M16" s="215"/>
      <c r="N16" s="215"/>
      <c r="O16" s="215"/>
      <c r="P16" s="215"/>
      <c r="Q16" s="215"/>
      <c r="R16" s="215"/>
      <c r="S16" s="215"/>
      <c r="T16" s="215"/>
      <c r="U16" s="215"/>
      <c r="V16" s="215"/>
      <c r="W16" s="215"/>
      <c r="X16" s="213">
        <v>14</v>
      </c>
      <c r="Y16" s="160">
        <v>15</v>
      </c>
      <c r="Z16" s="214">
        <v>16</v>
      </c>
      <c r="AA16" s="214"/>
      <c r="AB16" s="214"/>
      <c r="AC16" s="214"/>
      <c r="AD16" s="214"/>
      <c r="AE16" s="214"/>
      <c r="AF16" s="214"/>
      <c r="AG16" s="214"/>
      <c r="AH16" s="214"/>
      <c r="AI16" s="214"/>
      <c r="AJ16" s="458"/>
      <c r="AK16" s="214"/>
      <c r="AL16" s="216"/>
      <c r="AM16" s="214"/>
      <c r="AN16" s="214"/>
      <c r="AO16" s="214"/>
      <c r="AP16" s="214"/>
      <c r="AQ16" s="214">
        <v>17</v>
      </c>
      <c r="AR16" s="564"/>
      <c r="AS16" s="214">
        <v>21</v>
      </c>
      <c r="AT16" s="161"/>
      <c r="AU16" s="216">
        <v>13</v>
      </c>
      <c r="AV16" s="216"/>
      <c r="AW16" s="216"/>
      <c r="AX16" s="216"/>
      <c r="AY16" s="216"/>
      <c r="AZ16" s="216"/>
      <c r="BA16" s="216"/>
      <c r="BB16" s="216"/>
      <c r="BC16" s="216"/>
      <c r="BD16" s="216"/>
      <c r="BE16" s="216"/>
      <c r="BF16" s="216"/>
      <c r="BG16" s="216"/>
      <c r="BH16" s="216"/>
      <c r="BI16" s="216"/>
      <c r="BJ16" s="216"/>
      <c r="BK16" s="216">
        <v>14</v>
      </c>
      <c r="BL16" s="425">
        <v>15</v>
      </c>
      <c r="BM16" s="214">
        <v>16</v>
      </c>
      <c r="BN16" s="214"/>
      <c r="BO16" s="214"/>
      <c r="BP16" s="371"/>
      <c r="BQ16" s="214"/>
      <c r="BR16" s="214"/>
      <c r="BS16" s="214"/>
      <c r="BT16" s="371"/>
      <c r="BU16" s="214"/>
      <c r="BV16" s="214"/>
      <c r="BW16" s="214"/>
      <c r="BX16" s="371"/>
      <c r="BY16" s="214"/>
      <c r="BZ16" s="214"/>
      <c r="CA16" s="214"/>
      <c r="CB16" s="214"/>
      <c r="CC16" s="163">
        <v>17</v>
      </c>
      <c r="CD16" s="214"/>
      <c r="CE16" s="214"/>
      <c r="CF16" s="213">
        <v>21</v>
      </c>
      <c r="CG16" s="4">
        <f>SUM(AU16:CF16)</f>
        <v>96</v>
      </c>
    </row>
    <row r="17" spans="2:84" ht="11.25" customHeight="1" thickBot="1">
      <c r="B17" s="164" t="s">
        <v>4</v>
      </c>
      <c r="C17" s="165"/>
      <c r="D17" s="165"/>
      <c r="E17" s="166"/>
      <c r="F17" s="166"/>
      <c r="G17" s="166"/>
      <c r="H17" s="166"/>
      <c r="I17" s="166"/>
      <c r="J17" s="166"/>
      <c r="K17" s="166"/>
      <c r="L17" s="167"/>
      <c r="M17" s="167"/>
      <c r="N17" s="167" t="s">
        <v>5</v>
      </c>
      <c r="O17" s="167"/>
      <c r="P17" s="167"/>
      <c r="Q17" s="167"/>
      <c r="R17" s="167"/>
      <c r="S17" s="167"/>
      <c r="T17" s="167"/>
      <c r="U17" s="167"/>
      <c r="V17" s="167"/>
      <c r="W17" s="167"/>
      <c r="X17" s="167"/>
      <c r="Y17" s="168"/>
      <c r="Z17" s="168"/>
      <c r="AA17" s="168"/>
      <c r="AB17" s="168"/>
      <c r="AC17" s="168"/>
      <c r="AD17" s="168"/>
      <c r="AE17" s="168"/>
      <c r="AF17" s="168"/>
      <c r="AG17" s="168"/>
      <c r="AH17" s="168"/>
      <c r="AI17" s="168"/>
      <c r="AJ17" s="459"/>
      <c r="AK17" s="168"/>
      <c r="AL17" s="588"/>
      <c r="AM17" s="168"/>
      <c r="AN17" s="168"/>
      <c r="AO17" s="168"/>
      <c r="AP17" s="168"/>
      <c r="AQ17" s="169"/>
      <c r="AR17" s="559"/>
      <c r="AS17" s="169"/>
      <c r="AT17" s="161"/>
      <c r="AU17" s="171"/>
      <c r="AV17" s="171"/>
      <c r="AW17" s="171"/>
      <c r="AX17" s="171"/>
      <c r="AY17" s="171"/>
      <c r="AZ17" s="171"/>
      <c r="BA17" s="171"/>
      <c r="BB17" s="171"/>
      <c r="BC17" s="171"/>
      <c r="BD17" s="171"/>
      <c r="BE17" s="171"/>
      <c r="BF17" s="171"/>
      <c r="BG17" s="171"/>
      <c r="BH17" s="171"/>
      <c r="BI17" s="171"/>
      <c r="BJ17" s="171"/>
      <c r="BK17" s="171"/>
      <c r="BL17" s="421" t="s">
        <v>6</v>
      </c>
      <c r="BM17" s="169"/>
      <c r="BN17" s="169"/>
      <c r="BO17" s="169"/>
      <c r="BP17" s="281"/>
      <c r="BQ17" s="169"/>
      <c r="BR17" s="169"/>
      <c r="BS17" s="169"/>
      <c r="BT17" s="281"/>
      <c r="BU17" s="169"/>
      <c r="BV17" s="169"/>
      <c r="BW17" s="169"/>
      <c r="BX17" s="281"/>
      <c r="BY17" s="169"/>
      <c r="BZ17" s="169"/>
      <c r="CA17" s="169"/>
      <c r="CB17" s="169"/>
      <c r="CC17" s="217"/>
      <c r="CD17" s="169"/>
      <c r="CE17" s="169"/>
      <c r="CF17" s="170"/>
    </row>
    <row r="18" spans="2:84" ht="24" customHeight="1" thickBot="1">
      <c r="B18" s="1436" t="s">
        <v>7</v>
      </c>
      <c r="C18" s="1437" t="s">
        <v>8</v>
      </c>
      <c r="D18" s="1437" t="s">
        <v>9</v>
      </c>
      <c r="E18" s="1468" t="s">
        <v>10</v>
      </c>
      <c r="F18" s="1424" t="s">
        <v>11</v>
      </c>
      <c r="G18" s="1424" t="s">
        <v>12</v>
      </c>
      <c r="H18" s="1424" t="s">
        <v>13</v>
      </c>
      <c r="I18" s="1424" t="s">
        <v>14</v>
      </c>
      <c r="J18" s="1424" t="s">
        <v>15</v>
      </c>
      <c r="K18" s="1424" t="s">
        <v>16</v>
      </c>
      <c r="L18" s="172"/>
      <c r="M18" s="172"/>
      <c r="N18" s="172"/>
      <c r="O18" s="172"/>
      <c r="P18" s="172"/>
      <c r="Q18" s="1418" t="s">
        <v>280</v>
      </c>
      <c r="R18" s="1418"/>
      <c r="S18" s="1418"/>
      <c r="T18" s="1418"/>
      <c r="U18" s="1418"/>
      <c r="V18" s="172"/>
      <c r="W18" s="172"/>
      <c r="X18" s="1418" t="s">
        <v>289</v>
      </c>
      <c r="Y18" s="1463" t="s">
        <v>17</v>
      </c>
      <c r="Z18" s="407"/>
      <c r="AA18" s="408"/>
      <c r="AB18" s="408"/>
      <c r="AC18" s="409"/>
      <c r="AD18" s="408"/>
      <c r="AE18" s="408"/>
      <c r="AF18" s="410" t="s">
        <v>18</v>
      </c>
      <c r="AG18" s="410"/>
      <c r="AH18" s="410"/>
      <c r="AI18" s="410"/>
      <c r="AJ18" s="460"/>
      <c r="AK18" s="408"/>
      <c r="AL18" s="589"/>
      <c r="AM18" s="408"/>
      <c r="AN18" s="408"/>
      <c r="AO18" s="408"/>
      <c r="AP18" s="411"/>
      <c r="AQ18" s="547" t="s">
        <v>282</v>
      </c>
      <c r="AR18" s="560" t="s">
        <v>19</v>
      </c>
      <c r="AS18" s="176" t="s">
        <v>20</v>
      </c>
      <c r="AT18" s="218"/>
      <c r="AU18" s="177"/>
      <c r="AV18" s="177"/>
      <c r="AW18" s="177"/>
      <c r="AX18" s="177"/>
      <c r="AY18" s="177"/>
      <c r="AZ18" s="1413" t="s">
        <v>283</v>
      </c>
      <c r="BA18" s="1413"/>
      <c r="BB18" s="1413"/>
      <c r="BC18" s="1413"/>
      <c r="BD18" s="1413"/>
      <c r="BE18" s="177"/>
      <c r="BF18" s="177"/>
      <c r="BG18" s="177"/>
      <c r="BH18" s="177"/>
      <c r="BI18" s="177"/>
      <c r="BJ18" s="177"/>
      <c r="BK18" s="1413" t="s">
        <v>284</v>
      </c>
      <c r="BL18" s="1414" t="s">
        <v>285</v>
      </c>
      <c r="BM18" s="173"/>
      <c r="BN18" s="173"/>
      <c r="BO18" s="173"/>
      <c r="BP18" s="178"/>
      <c r="BQ18" s="173"/>
      <c r="BR18" s="178"/>
      <c r="BS18" s="178" t="s">
        <v>324</v>
      </c>
      <c r="BT18" s="178"/>
      <c r="BU18" s="173"/>
      <c r="BV18" s="173"/>
      <c r="BW18" s="173"/>
      <c r="BX18" s="178"/>
      <c r="BY18" s="173"/>
      <c r="BZ18" s="173"/>
      <c r="CA18" s="173"/>
      <c r="CB18" s="173"/>
      <c r="CC18" s="1429" t="s">
        <v>287</v>
      </c>
      <c r="CD18" s="1466" t="s">
        <v>253</v>
      </c>
      <c r="CE18" s="1369" t="s">
        <v>19</v>
      </c>
      <c r="CF18" s="1369" t="s">
        <v>20</v>
      </c>
    </row>
    <row r="19" spans="2:84" ht="63" customHeight="1">
      <c r="B19" s="1436"/>
      <c r="C19" s="1437"/>
      <c r="D19" s="1437"/>
      <c r="E19" s="1469"/>
      <c r="F19" s="1424"/>
      <c r="G19" s="1424"/>
      <c r="H19" s="1424"/>
      <c r="I19" s="1424"/>
      <c r="J19" s="1424"/>
      <c r="K19" s="1424"/>
      <c r="L19" s="179" t="s">
        <v>212</v>
      </c>
      <c r="M19" s="179" t="s">
        <v>213</v>
      </c>
      <c r="N19" s="179" t="s">
        <v>214</v>
      </c>
      <c r="O19" s="179" t="s">
        <v>215</v>
      </c>
      <c r="P19" s="179" t="s">
        <v>216</v>
      </c>
      <c r="Q19" s="179" t="s">
        <v>217</v>
      </c>
      <c r="R19" s="179" t="s">
        <v>218</v>
      </c>
      <c r="S19" s="179" t="s">
        <v>219</v>
      </c>
      <c r="T19" s="179" t="s">
        <v>220</v>
      </c>
      <c r="U19" s="179" t="s">
        <v>221</v>
      </c>
      <c r="V19" s="179" t="s">
        <v>222</v>
      </c>
      <c r="W19" s="179" t="s">
        <v>223</v>
      </c>
      <c r="X19" s="1418"/>
      <c r="Y19" s="1463"/>
      <c r="Z19" s="179" t="s">
        <v>212</v>
      </c>
      <c r="AA19" s="179" t="s">
        <v>213</v>
      </c>
      <c r="AB19" s="179" t="s">
        <v>214</v>
      </c>
      <c r="AC19" s="104" t="s">
        <v>195</v>
      </c>
      <c r="AD19" s="179" t="s">
        <v>215</v>
      </c>
      <c r="AE19" s="179" t="s">
        <v>216</v>
      </c>
      <c r="AF19" s="179" t="s">
        <v>217</v>
      </c>
      <c r="AG19" s="180" t="s">
        <v>193</v>
      </c>
      <c r="AH19" s="179" t="s">
        <v>218</v>
      </c>
      <c r="AI19" s="179" t="s">
        <v>219</v>
      </c>
      <c r="AJ19" s="461" t="s">
        <v>220</v>
      </c>
      <c r="AK19" s="180" t="s">
        <v>194</v>
      </c>
      <c r="AL19" s="590"/>
      <c r="AM19" s="179" t="s">
        <v>221</v>
      </c>
      <c r="AN19" s="179" t="s">
        <v>222</v>
      </c>
      <c r="AO19" s="179" t="s">
        <v>223</v>
      </c>
      <c r="AP19" s="180" t="s">
        <v>196</v>
      </c>
      <c r="AQ19" s="176"/>
      <c r="AR19" s="560"/>
      <c r="AS19" s="181"/>
      <c r="AT19" s="218"/>
      <c r="AU19" s="179" t="s">
        <v>212</v>
      </c>
      <c r="AV19" s="179" t="s">
        <v>213</v>
      </c>
      <c r="AW19" s="179" t="s">
        <v>214</v>
      </c>
      <c r="AX19" s="285" t="s">
        <v>366</v>
      </c>
      <c r="AY19" s="179" t="s">
        <v>215</v>
      </c>
      <c r="AZ19" s="179" t="s">
        <v>216</v>
      </c>
      <c r="BA19" s="179" t="s">
        <v>217</v>
      </c>
      <c r="BB19" s="285" t="s">
        <v>370</v>
      </c>
      <c r="BC19" s="179" t="s">
        <v>218</v>
      </c>
      <c r="BD19" s="179" t="s">
        <v>219</v>
      </c>
      <c r="BE19" s="179" t="s">
        <v>220</v>
      </c>
      <c r="BF19" s="285" t="s">
        <v>371</v>
      </c>
      <c r="BG19" s="179" t="s">
        <v>221</v>
      </c>
      <c r="BH19" s="179" t="s">
        <v>222</v>
      </c>
      <c r="BI19" s="179" t="s">
        <v>223</v>
      </c>
      <c r="BJ19" s="285" t="s">
        <v>374</v>
      </c>
      <c r="BK19" s="1413"/>
      <c r="BL19" s="1414"/>
      <c r="BM19" s="179" t="s">
        <v>212</v>
      </c>
      <c r="BN19" s="179" t="s">
        <v>213</v>
      </c>
      <c r="BO19" s="179" t="s">
        <v>214</v>
      </c>
      <c r="BP19" s="182" t="s">
        <v>195</v>
      </c>
      <c r="BQ19" s="179" t="s">
        <v>215</v>
      </c>
      <c r="BR19" s="179" t="s">
        <v>216</v>
      </c>
      <c r="BS19" s="179" t="s">
        <v>217</v>
      </c>
      <c r="BT19" s="286" t="s">
        <v>193</v>
      </c>
      <c r="BU19" s="179" t="s">
        <v>218</v>
      </c>
      <c r="BV19" s="179" t="s">
        <v>219</v>
      </c>
      <c r="BW19" s="179" t="s">
        <v>220</v>
      </c>
      <c r="BX19" s="286" t="s">
        <v>194</v>
      </c>
      <c r="BY19" s="179" t="s">
        <v>221</v>
      </c>
      <c r="BZ19" s="179" t="s">
        <v>222</v>
      </c>
      <c r="CA19" s="179" t="s">
        <v>223</v>
      </c>
      <c r="CB19" s="90" t="s">
        <v>196</v>
      </c>
      <c r="CC19" s="1430"/>
      <c r="CD19" s="1467"/>
      <c r="CE19" s="1409"/>
      <c r="CF19" s="1409"/>
    </row>
    <row r="20" spans="1:84" ht="14.25" customHeight="1">
      <c r="A20" s="4">
        <v>2</v>
      </c>
      <c r="B20" s="222" t="s">
        <v>22</v>
      </c>
      <c r="C20" s="223"/>
      <c r="D20" s="223"/>
      <c r="E20" s="222"/>
      <c r="F20" s="222"/>
      <c r="G20" s="222"/>
      <c r="H20" s="222"/>
      <c r="I20" s="222"/>
      <c r="J20" s="222"/>
      <c r="K20" s="222"/>
      <c r="L20" s="222"/>
      <c r="M20" s="222"/>
      <c r="N20" s="222"/>
      <c r="O20" s="222"/>
      <c r="P20" s="222"/>
      <c r="Q20" s="222"/>
      <c r="R20" s="222"/>
      <c r="S20" s="222"/>
      <c r="T20" s="222"/>
      <c r="U20" s="222"/>
      <c r="V20" s="222"/>
      <c r="W20" s="222"/>
      <c r="X20" s="222"/>
      <c r="Y20" s="224"/>
      <c r="Z20" s="223"/>
      <c r="AA20" s="223"/>
      <c r="AB20" s="223"/>
      <c r="AC20" s="187"/>
      <c r="AD20" s="223"/>
      <c r="AE20" s="223"/>
      <c r="AF20" s="223"/>
      <c r="AG20" s="187"/>
      <c r="AH20" s="223"/>
      <c r="AI20" s="223"/>
      <c r="AJ20" s="462"/>
      <c r="AK20" s="187"/>
      <c r="AL20" s="586"/>
      <c r="AM20" s="223"/>
      <c r="AN20" s="223"/>
      <c r="AO20" s="223"/>
      <c r="AP20" s="186"/>
      <c r="AQ20" s="223"/>
      <c r="AR20" s="565"/>
      <c r="AS20" s="223"/>
      <c r="AT20" s="225"/>
      <c r="AU20" s="223"/>
      <c r="AV20" s="223"/>
      <c r="AW20" s="223"/>
      <c r="AX20" s="223"/>
      <c r="AY20" s="223"/>
      <c r="AZ20" s="223"/>
      <c r="BA20" s="223"/>
      <c r="BB20" s="223"/>
      <c r="BC20" s="223"/>
      <c r="BD20" s="223"/>
      <c r="BE20" s="223"/>
      <c r="BF20" s="223"/>
      <c r="BG20" s="223"/>
      <c r="BH20" s="223"/>
      <c r="BI20" s="223"/>
      <c r="BJ20" s="223"/>
      <c r="BK20" s="223"/>
      <c r="BL20" s="422"/>
      <c r="BM20" s="223"/>
      <c r="BN20" s="223"/>
      <c r="BO20" s="223"/>
      <c r="BP20" s="296"/>
      <c r="BQ20" s="223"/>
      <c r="BR20" s="223"/>
      <c r="BS20" s="223"/>
      <c r="BT20" s="296"/>
      <c r="BU20" s="223"/>
      <c r="BV20" s="223"/>
      <c r="BW20" s="223"/>
      <c r="BX20" s="296"/>
      <c r="BY20" s="223"/>
      <c r="BZ20" s="223"/>
      <c r="CA20" s="223"/>
      <c r="CB20" s="188"/>
      <c r="CC20" s="226"/>
      <c r="CD20" s="223"/>
      <c r="CE20" s="223"/>
      <c r="CF20" s="222"/>
    </row>
    <row r="21" spans="2:85" ht="78.75" customHeight="1" thickBot="1">
      <c r="B21" s="190">
        <v>20</v>
      </c>
      <c r="C21" s="191" t="s">
        <v>197</v>
      </c>
      <c r="D21" s="191" t="s">
        <v>198</v>
      </c>
      <c r="E21" s="193" t="s">
        <v>37</v>
      </c>
      <c r="F21" s="193" t="s">
        <v>39</v>
      </c>
      <c r="G21" s="95" t="s">
        <v>40</v>
      </c>
      <c r="H21" s="193" t="s">
        <v>261</v>
      </c>
      <c r="I21" s="227">
        <v>0</v>
      </c>
      <c r="J21" s="227">
        <v>14</v>
      </c>
      <c r="K21" s="193" t="s">
        <v>44</v>
      </c>
      <c r="L21" s="228">
        <v>1</v>
      </c>
      <c r="M21" s="228">
        <v>1</v>
      </c>
      <c r="N21" s="228">
        <v>0</v>
      </c>
      <c r="O21" s="228">
        <v>0</v>
      </c>
      <c r="P21" s="228">
        <v>0</v>
      </c>
      <c r="Q21" s="228">
        <v>0</v>
      </c>
      <c r="R21" s="228">
        <v>0</v>
      </c>
      <c r="S21" s="228">
        <v>2</v>
      </c>
      <c r="T21" s="228">
        <v>4</v>
      </c>
      <c r="U21" s="228">
        <v>2</v>
      </c>
      <c r="V21" s="228">
        <v>2</v>
      </c>
      <c r="W21" s="228">
        <v>2</v>
      </c>
      <c r="X21" s="228">
        <f aca="true" t="shared" si="2" ref="X21:X27">SUM(L21:W21)</f>
        <v>14</v>
      </c>
      <c r="Y21" s="229">
        <v>0</v>
      </c>
      <c r="Z21" s="94">
        <v>1</v>
      </c>
      <c r="AA21" s="94">
        <v>1</v>
      </c>
      <c r="AB21" s="94">
        <v>0</v>
      </c>
      <c r="AC21" s="197">
        <f>(Z21+AA21+AB21)/(+L21+M21+N21)</f>
        <v>1</v>
      </c>
      <c r="AD21" s="94">
        <v>0</v>
      </c>
      <c r="AE21" s="94">
        <v>0</v>
      </c>
      <c r="AF21" s="94">
        <v>0</v>
      </c>
      <c r="AG21" s="230">
        <v>0</v>
      </c>
      <c r="AH21" s="94">
        <v>0</v>
      </c>
      <c r="AI21" s="94">
        <v>2</v>
      </c>
      <c r="AJ21" s="463">
        <v>4</v>
      </c>
      <c r="AK21" s="231">
        <f aca="true" t="shared" si="3" ref="AK21:AK27">+(AH21+AI21+AJ21)/(+R21+S21+T21)</f>
        <v>1</v>
      </c>
      <c r="AL21" s="587"/>
      <c r="AM21" s="94">
        <v>2</v>
      </c>
      <c r="AN21" s="94">
        <v>2</v>
      </c>
      <c r="AO21" s="94">
        <v>1</v>
      </c>
      <c r="AP21" s="106">
        <f aca="true" t="shared" si="4" ref="AP21:AP27">(AM21+AN21+AO21)/(+U21+V21+W21)</f>
        <v>0.8333333333333334</v>
      </c>
      <c r="AQ21" s="83">
        <f aca="true" t="shared" si="5" ref="AQ21:AQ27">+AO21+AN21+AM21+AJ21+AI21+AH21+AF21+AE21+AD21+AB21+AA21+Z21</f>
        <v>13</v>
      </c>
      <c r="AR21" s="566" t="s">
        <v>35</v>
      </c>
      <c r="AS21" s="94" t="s">
        <v>46</v>
      </c>
      <c r="AT21" s="84"/>
      <c r="AU21" s="232">
        <v>0</v>
      </c>
      <c r="AV21" s="232">
        <v>0</v>
      </c>
      <c r="AW21" s="232">
        <v>0</v>
      </c>
      <c r="AX21" s="232">
        <f>SUM(AU21:AW21)</f>
        <v>0</v>
      </c>
      <c r="AY21" s="232">
        <v>0</v>
      </c>
      <c r="AZ21" s="232">
        <v>0</v>
      </c>
      <c r="BA21" s="232">
        <v>0</v>
      </c>
      <c r="BB21" s="199">
        <f aca="true" t="shared" si="6" ref="BB21:BB27">SUM(AY21:BA21)</f>
        <v>0</v>
      </c>
      <c r="BC21" s="232">
        <v>0</v>
      </c>
      <c r="BD21" s="232">
        <v>0</v>
      </c>
      <c r="BE21" s="232">
        <v>0</v>
      </c>
      <c r="BF21" s="232">
        <f>SUM(BC21:BE21)</f>
        <v>0</v>
      </c>
      <c r="BG21" s="232">
        <v>2</v>
      </c>
      <c r="BH21" s="232">
        <v>2</v>
      </c>
      <c r="BI21" s="232">
        <v>1</v>
      </c>
      <c r="BJ21" s="199">
        <f>SUM(BG21:BI21)</f>
        <v>5</v>
      </c>
      <c r="BK21" s="232">
        <v>0</v>
      </c>
      <c r="BL21" s="426">
        <v>0</v>
      </c>
      <c r="BM21" s="110">
        <v>0</v>
      </c>
      <c r="BN21" s="110">
        <v>0</v>
      </c>
      <c r="BO21" s="110">
        <v>0</v>
      </c>
      <c r="BP21" s="266"/>
      <c r="BQ21" s="71">
        <v>0</v>
      </c>
      <c r="BR21" s="71">
        <v>0</v>
      </c>
      <c r="BS21" s="71">
        <v>0</v>
      </c>
      <c r="BT21" s="266"/>
      <c r="BU21" s="71">
        <v>0</v>
      </c>
      <c r="BV21" s="71">
        <v>0</v>
      </c>
      <c r="BW21" s="71">
        <v>0</v>
      </c>
      <c r="BX21" s="266"/>
      <c r="BY21" s="71">
        <v>0</v>
      </c>
      <c r="BZ21" s="71">
        <v>0</v>
      </c>
      <c r="CA21" s="71">
        <v>0</v>
      </c>
      <c r="CB21" s="581">
        <f aca="true" t="shared" si="7" ref="CB21:CB27">+(BY21+BZ21+CA21)/(BG21+BH21+BI21)</f>
        <v>0</v>
      </c>
      <c r="CC21" s="201">
        <f aca="true" t="shared" si="8" ref="CC21:CC27">+BM21+BN21+BO21+BQ21+BR21+BS21+BU21+BV21+BW21+BY21+BZ21+CA21</f>
        <v>0</v>
      </c>
      <c r="CD21" s="233"/>
      <c r="CE21" s="67" t="s">
        <v>35</v>
      </c>
      <c r="CF21" s="31" t="s">
        <v>318</v>
      </c>
      <c r="CG21" s="4">
        <f>SUM(CC21:CF21)</f>
        <v>0</v>
      </c>
    </row>
    <row r="22" spans="2:85" ht="73.5" customHeight="1" thickBot="1">
      <c r="B22" s="190">
        <v>20</v>
      </c>
      <c r="C22" s="191" t="s">
        <v>197</v>
      </c>
      <c r="D22" s="191" t="s">
        <v>198</v>
      </c>
      <c r="E22" s="193" t="s">
        <v>36</v>
      </c>
      <c r="F22" s="193" t="s">
        <v>210</v>
      </c>
      <c r="G22" s="95" t="s">
        <v>41</v>
      </c>
      <c r="H22" s="193" t="s">
        <v>42</v>
      </c>
      <c r="I22" s="227"/>
      <c r="J22" s="227">
        <v>27</v>
      </c>
      <c r="K22" s="193" t="s">
        <v>43</v>
      </c>
      <c r="L22" s="228">
        <v>0</v>
      </c>
      <c r="M22" s="228">
        <v>0</v>
      </c>
      <c r="N22" s="228">
        <v>0</v>
      </c>
      <c r="O22" s="228">
        <v>0</v>
      </c>
      <c r="P22" s="228">
        <v>0</v>
      </c>
      <c r="Q22" s="228">
        <v>0</v>
      </c>
      <c r="R22" s="228">
        <v>0</v>
      </c>
      <c r="S22" s="228">
        <v>15</v>
      </c>
      <c r="T22" s="228">
        <v>12</v>
      </c>
      <c r="U22" s="228">
        <v>0</v>
      </c>
      <c r="V22" s="228">
        <v>0</v>
      </c>
      <c r="W22" s="228">
        <v>0</v>
      </c>
      <c r="X22" s="228">
        <f t="shared" si="2"/>
        <v>27</v>
      </c>
      <c r="Y22" s="533">
        <f aca="true" t="shared" si="9" ref="Y22:Y27">+BK22</f>
        <v>10194.4</v>
      </c>
      <c r="Z22" s="94">
        <v>0</v>
      </c>
      <c r="AA22" s="94">
        <v>0</v>
      </c>
      <c r="AB22" s="94">
        <v>0</v>
      </c>
      <c r="AC22" s="230">
        <v>0</v>
      </c>
      <c r="AD22" s="94">
        <v>0</v>
      </c>
      <c r="AE22" s="94">
        <v>0</v>
      </c>
      <c r="AF22" s="94">
        <v>0</v>
      </c>
      <c r="AG22" s="230">
        <v>0</v>
      </c>
      <c r="AH22" s="94">
        <v>0</v>
      </c>
      <c r="AI22" s="94">
        <v>15</v>
      </c>
      <c r="AJ22" s="463">
        <v>12</v>
      </c>
      <c r="AK22" s="231">
        <f t="shared" si="3"/>
        <v>1</v>
      </c>
      <c r="AL22" s="587"/>
      <c r="AM22" s="94">
        <v>0</v>
      </c>
      <c r="AN22" s="94">
        <v>0</v>
      </c>
      <c r="AO22" s="94">
        <v>5</v>
      </c>
      <c r="AP22" s="106" t="e">
        <f t="shared" si="4"/>
        <v>#DIV/0!</v>
      </c>
      <c r="AQ22" s="83">
        <f t="shared" si="5"/>
        <v>32</v>
      </c>
      <c r="AR22" s="566" t="s">
        <v>45</v>
      </c>
      <c r="AS22" s="94" t="s">
        <v>47</v>
      </c>
      <c r="AT22" s="84"/>
      <c r="AU22" s="232">
        <v>0</v>
      </c>
      <c r="AV22" s="232">
        <v>0</v>
      </c>
      <c r="AW22" s="232">
        <v>1000</v>
      </c>
      <c r="AX22" s="232">
        <f aca="true" t="shared" si="10" ref="AX22:AX27">SUM(AU22:AW22)</f>
        <v>1000</v>
      </c>
      <c r="AY22" s="232"/>
      <c r="AZ22" s="232">
        <v>2500</v>
      </c>
      <c r="BA22" s="232"/>
      <c r="BB22" s="199">
        <f t="shared" si="6"/>
        <v>2500</v>
      </c>
      <c r="BC22" s="232">
        <v>0</v>
      </c>
      <c r="BD22" s="232">
        <v>2800</v>
      </c>
      <c r="BE22" s="232">
        <v>0</v>
      </c>
      <c r="BF22" s="232">
        <f aca="true" t="shared" si="11" ref="BF22:BF27">SUM(BC22:BE22)</f>
        <v>2800</v>
      </c>
      <c r="BG22" s="232">
        <f>9174-6300</f>
        <v>2874</v>
      </c>
      <c r="BH22" s="232"/>
      <c r="BI22" s="232">
        <f>10194.4-9174</f>
        <v>1020.3999999999996</v>
      </c>
      <c r="BJ22" s="199">
        <f aca="true" t="shared" si="12" ref="BJ22:BJ27">SUM(BG22:BI22)</f>
        <v>3894.3999999999996</v>
      </c>
      <c r="BK22" s="232">
        <f aca="true" t="shared" si="13" ref="BK22:BK27">+BJ22+BF22+BB22+AX22</f>
        <v>10194.4</v>
      </c>
      <c r="BL22" s="426">
        <f>+BK22</f>
        <v>10194.4</v>
      </c>
      <c r="BM22" s="110">
        <v>0</v>
      </c>
      <c r="BN22" s="110">
        <v>0</v>
      </c>
      <c r="BO22" s="110">
        <v>0</v>
      </c>
      <c r="BP22" s="266"/>
      <c r="BQ22" s="71">
        <v>0</v>
      </c>
      <c r="BR22" s="71">
        <v>0</v>
      </c>
      <c r="BS22" s="71">
        <v>907.2</v>
      </c>
      <c r="BT22" s="266">
        <f>+(BQ22+BR22+BS22)/(AY22+AZ22+BA22)</f>
        <v>0.36288000000000004</v>
      </c>
      <c r="BU22" s="71">
        <v>448</v>
      </c>
      <c r="BV22" s="71">
        <v>1528.8</v>
      </c>
      <c r="BW22" s="86">
        <v>1310.4</v>
      </c>
      <c r="BX22" s="266">
        <f>+(BU22+BV22+BW22)/(BC22+BD22+BE22)</f>
        <v>1.174</v>
      </c>
      <c r="BY22" s="71">
        <v>0</v>
      </c>
      <c r="BZ22" s="71">
        <v>0</v>
      </c>
      <c r="CA22" s="71">
        <v>6000</v>
      </c>
      <c r="CB22" s="581">
        <f t="shared" si="7"/>
        <v>1.5406737880032868</v>
      </c>
      <c r="CC22" s="201">
        <f t="shared" si="8"/>
        <v>10194.4</v>
      </c>
      <c r="CD22" s="233">
        <f>+CC22/BK22</f>
        <v>1</v>
      </c>
      <c r="CE22" s="67" t="s">
        <v>45</v>
      </c>
      <c r="CF22" s="31" t="s">
        <v>244</v>
      </c>
      <c r="CG22" s="4">
        <f>SUM(BL22:CF22)</f>
        <v>30587.277553788008</v>
      </c>
    </row>
    <row r="23" spans="2:85" ht="44.25" customHeight="1">
      <c r="B23" s="190">
        <v>20</v>
      </c>
      <c r="C23" s="191" t="s">
        <v>197</v>
      </c>
      <c r="D23" s="191" t="s">
        <v>198</v>
      </c>
      <c r="E23" s="234" t="s">
        <v>38</v>
      </c>
      <c r="F23" s="193" t="s">
        <v>48</v>
      </c>
      <c r="G23" s="95" t="s">
        <v>49</v>
      </c>
      <c r="H23" s="193" t="s">
        <v>42</v>
      </c>
      <c r="I23" s="227">
        <v>0</v>
      </c>
      <c r="J23" s="227">
        <v>600</v>
      </c>
      <c r="K23" s="193" t="s">
        <v>99</v>
      </c>
      <c r="L23" s="228">
        <v>0</v>
      </c>
      <c r="M23" s="228">
        <v>0</v>
      </c>
      <c r="N23" s="228">
        <v>0</v>
      </c>
      <c r="O23" s="228">
        <v>0</v>
      </c>
      <c r="P23" s="228">
        <v>0</v>
      </c>
      <c r="Q23" s="228">
        <v>0</v>
      </c>
      <c r="R23" s="228">
        <v>0</v>
      </c>
      <c r="S23" s="228">
        <v>600</v>
      </c>
      <c r="T23" s="228">
        <v>0</v>
      </c>
      <c r="U23" s="228">
        <v>0</v>
      </c>
      <c r="V23" s="228">
        <v>0</v>
      </c>
      <c r="W23" s="228">
        <v>0</v>
      </c>
      <c r="X23" s="228">
        <f t="shared" si="2"/>
        <v>600</v>
      </c>
      <c r="Y23" s="229">
        <f t="shared" si="9"/>
        <v>0</v>
      </c>
      <c r="Z23" s="94">
        <v>0</v>
      </c>
      <c r="AA23" s="94">
        <v>0</v>
      </c>
      <c r="AB23" s="94">
        <v>0</v>
      </c>
      <c r="AC23" s="230">
        <v>0</v>
      </c>
      <c r="AD23" s="94">
        <v>0</v>
      </c>
      <c r="AE23" s="94">
        <v>0</v>
      </c>
      <c r="AF23" s="94">
        <v>0</v>
      </c>
      <c r="AG23" s="230">
        <v>0</v>
      </c>
      <c r="AH23" s="94">
        <v>0</v>
      </c>
      <c r="AI23" s="94">
        <v>0</v>
      </c>
      <c r="AJ23" s="463">
        <v>574</v>
      </c>
      <c r="AK23" s="231">
        <f t="shared" si="3"/>
        <v>0.9566666666666667</v>
      </c>
      <c r="AL23" s="587"/>
      <c r="AM23" s="94">
        <v>23</v>
      </c>
      <c r="AN23" s="94">
        <v>0</v>
      </c>
      <c r="AO23" s="94">
        <v>0</v>
      </c>
      <c r="AP23" s="106" t="e">
        <f t="shared" si="4"/>
        <v>#DIV/0!</v>
      </c>
      <c r="AQ23" s="83">
        <f t="shared" si="5"/>
        <v>597</v>
      </c>
      <c r="AR23" s="566" t="s">
        <v>45</v>
      </c>
      <c r="AS23" s="94" t="s">
        <v>100</v>
      </c>
      <c r="AT23" s="84"/>
      <c r="AU23" s="235">
        <v>0</v>
      </c>
      <c r="AV23" s="235">
        <v>0</v>
      </c>
      <c r="AW23" s="235">
        <v>0</v>
      </c>
      <c r="AX23" s="232">
        <f t="shared" si="10"/>
        <v>0</v>
      </c>
      <c r="AY23" s="235">
        <v>0</v>
      </c>
      <c r="AZ23" s="235">
        <v>0</v>
      </c>
      <c r="BA23" s="235">
        <v>0</v>
      </c>
      <c r="BB23" s="199">
        <f t="shared" si="6"/>
        <v>0</v>
      </c>
      <c r="BC23" s="235">
        <v>0</v>
      </c>
      <c r="BD23" s="235">
        <v>0</v>
      </c>
      <c r="BE23" s="235">
        <v>0</v>
      </c>
      <c r="BF23" s="232">
        <f t="shared" si="11"/>
        <v>0</v>
      </c>
      <c r="BG23" s="235">
        <v>0</v>
      </c>
      <c r="BH23" s="235">
        <v>0</v>
      </c>
      <c r="BI23" s="235">
        <v>0</v>
      </c>
      <c r="BJ23" s="199">
        <f t="shared" si="12"/>
        <v>0</v>
      </c>
      <c r="BK23" s="232">
        <f t="shared" si="13"/>
        <v>0</v>
      </c>
      <c r="BL23" s="427">
        <v>0</v>
      </c>
      <c r="BM23" s="110">
        <v>0</v>
      </c>
      <c r="BN23" s="110">
        <v>0</v>
      </c>
      <c r="BO23" s="110">
        <v>0</v>
      </c>
      <c r="BP23" s="266"/>
      <c r="BQ23" s="71">
        <v>0</v>
      </c>
      <c r="BR23" s="71">
        <v>0</v>
      </c>
      <c r="BS23" s="71">
        <v>0</v>
      </c>
      <c r="BT23" s="266"/>
      <c r="BU23" s="71">
        <v>0</v>
      </c>
      <c r="BV23" s="71">
        <v>0</v>
      </c>
      <c r="BW23" s="71">
        <v>0</v>
      </c>
      <c r="BX23" s="266"/>
      <c r="BY23" s="71">
        <v>0</v>
      </c>
      <c r="BZ23" s="71">
        <v>0</v>
      </c>
      <c r="CA23" s="71">
        <v>0</v>
      </c>
      <c r="CB23" s="581" t="e">
        <f t="shared" si="7"/>
        <v>#DIV/0!</v>
      </c>
      <c r="CC23" s="201">
        <f t="shared" si="8"/>
        <v>0</v>
      </c>
      <c r="CD23" s="233"/>
      <c r="CE23" s="67" t="s">
        <v>45</v>
      </c>
      <c r="CF23" s="31" t="s">
        <v>245</v>
      </c>
      <c r="CG23" s="4">
        <f>SUM(CG21:CG22)</f>
        <v>30587.277553788008</v>
      </c>
    </row>
    <row r="24" spans="2:85" ht="81.75" customHeight="1">
      <c r="B24" s="190">
        <v>20</v>
      </c>
      <c r="C24" s="191" t="s">
        <v>197</v>
      </c>
      <c r="D24" s="191" t="s">
        <v>198</v>
      </c>
      <c r="E24" s="234"/>
      <c r="F24" s="193" t="s">
        <v>50</v>
      </c>
      <c r="G24" s="95" t="s">
        <v>51</v>
      </c>
      <c r="H24" s="193" t="s">
        <v>42</v>
      </c>
      <c r="I24" s="227">
        <v>0</v>
      </c>
      <c r="J24" s="227">
        <v>490</v>
      </c>
      <c r="K24" s="193" t="s">
        <v>101</v>
      </c>
      <c r="L24" s="228">
        <v>0</v>
      </c>
      <c r="M24" s="228">
        <v>0</v>
      </c>
      <c r="N24" s="228">
        <v>0</v>
      </c>
      <c r="O24" s="228">
        <v>0</v>
      </c>
      <c r="P24" s="228">
        <v>0</v>
      </c>
      <c r="Q24" s="228">
        <v>0</v>
      </c>
      <c r="R24" s="228">
        <v>0</v>
      </c>
      <c r="S24" s="228">
        <v>0</v>
      </c>
      <c r="T24" s="228">
        <v>0</v>
      </c>
      <c r="U24" s="228">
        <v>490</v>
      </c>
      <c r="V24" s="228">
        <v>0</v>
      </c>
      <c r="W24" s="228"/>
      <c r="X24" s="228">
        <f t="shared" si="2"/>
        <v>490</v>
      </c>
      <c r="Y24" s="229">
        <f t="shared" si="9"/>
        <v>0</v>
      </c>
      <c r="Z24" s="94">
        <v>0</v>
      </c>
      <c r="AA24" s="94">
        <v>0</v>
      </c>
      <c r="AB24" s="94">
        <v>0</v>
      </c>
      <c r="AC24" s="230">
        <v>0</v>
      </c>
      <c r="AD24" s="94">
        <v>0</v>
      </c>
      <c r="AE24" s="94">
        <v>0</v>
      </c>
      <c r="AF24" s="94">
        <v>0</v>
      </c>
      <c r="AG24" s="230">
        <v>0</v>
      </c>
      <c r="AH24" s="94">
        <v>0</v>
      </c>
      <c r="AI24" s="94">
        <v>0</v>
      </c>
      <c r="AJ24" s="463">
        <v>0</v>
      </c>
      <c r="AK24" s="578">
        <v>0</v>
      </c>
      <c r="AL24" s="591"/>
      <c r="AM24" s="94">
        <v>370</v>
      </c>
      <c r="AN24" s="94">
        <v>0</v>
      </c>
      <c r="AO24" s="94">
        <v>0</v>
      </c>
      <c r="AP24" s="106">
        <f t="shared" si="4"/>
        <v>0.7551020408163265</v>
      </c>
      <c r="AQ24" s="83">
        <f t="shared" si="5"/>
        <v>370</v>
      </c>
      <c r="AR24" s="566" t="s">
        <v>45</v>
      </c>
      <c r="AS24" s="94" t="s">
        <v>100</v>
      </c>
      <c r="AT24" s="84"/>
      <c r="AU24" s="235">
        <v>0</v>
      </c>
      <c r="AV24" s="235">
        <v>0</v>
      </c>
      <c r="AW24" s="235">
        <v>0</v>
      </c>
      <c r="AX24" s="232">
        <f t="shared" si="10"/>
        <v>0</v>
      </c>
      <c r="AY24" s="235">
        <v>0</v>
      </c>
      <c r="AZ24" s="235">
        <v>0</v>
      </c>
      <c r="BA24" s="235">
        <v>0</v>
      </c>
      <c r="BB24" s="199">
        <f t="shared" si="6"/>
        <v>0</v>
      </c>
      <c r="BC24" s="235">
        <v>0</v>
      </c>
      <c r="BD24" s="235">
        <v>0</v>
      </c>
      <c r="BE24" s="235">
        <v>0</v>
      </c>
      <c r="BF24" s="232">
        <f t="shared" si="11"/>
        <v>0</v>
      </c>
      <c r="BG24" s="235">
        <v>0</v>
      </c>
      <c r="BH24" s="235">
        <v>0</v>
      </c>
      <c r="BI24" s="235">
        <v>0</v>
      </c>
      <c r="BJ24" s="199">
        <f t="shared" si="12"/>
        <v>0</v>
      </c>
      <c r="BK24" s="232">
        <f t="shared" si="13"/>
        <v>0</v>
      </c>
      <c r="BL24" s="427">
        <v>0</v>
      </c>
      <c r="BM24" s="110">
        <v>0</v>
      </c>
      <c r="BN24" s="110">
        <v>0</v>
      </c>
      <c r="BO24" s="110">
        <v>0</v>
      </c>
      <c r="BP24" s="266"/>
      <c r="BQ24" s="71">
        <v>0</v>
      </c>
      <c r="BR24" s="71">
        <v>0</v>
      </c>
      <c r="BS24" s="71">
        <v>0</v>
      </c>
      <c r="BT24" s="266"/>
      <c r="BU24" s="71">
        <v>0</v>
      </c>
      <c r="BV24" s="71">
        <v>0</v>
      </c>
      <c r="BW24" s="71">
        <v>0</v>
      </c>
      <c r="BX24" s="266"/>
      <c r="BY24" s="71">
        <v>0</v>
      </c>
      <c r="BZ24" s="71">
        <v>0</v>
      </c>
      <c r="CA24" s="71">
        <v>0</v>
      </c>
      <c r="CB24" s="581" t="e">
        <f t="shared" si="7"/>
        <v>#DIV/0!</v>
      </c>
      <c r="CC24" s="201">
        <f t="shared" si="8"/>
        <v>0</v>
      </c>
      <c r="CD24" s="233"/>
      <c r="CE24" s="67" t="s">
        <v>45</v>
      </c>
      <c r="CF24" s="31" t="s">
        <v>245</v>
      </c>
      <c r="CG24" s="4">
        <f>SUM(CC24:CF24)</f>
        <v>0</v>
      </c>
    </row>
    <row r="25" spans="2:85" ht="72" customHeight="1">
      <c r="B25" s="190">
        <v>20</v>
      </c>
      <c r="C25" s="191" t="s">
        <v>197</v>
      </c>
      <c r="D25" s="191" t="s">
        <v>198</v>
      </c>
      <c r="E25" s="234"/>
      <c r="F25" s="193" t="s">
        <v>377</v>
      </c>
      <c r="G25" s="95" t="s">
        <v>103</v>
      </c>
      <c r="H25" s="193" t="s">
        <v>42</v>
      </c>
      <c r="I25" s="227">
        <v>0</v>
      </c>
      <c r="J25" s="227">
        <v>845</v>
      </c>
      <c r="K25" s="193" t="s">
        <v>104</v>
      </c>
      <c r="L25" s="228">
        <v>70</v>
      </c>
      <c r="M25" s="228">
        <v>70</v>
      </c>
      <c r="N25" s="228">
        <v>70</v>
      </c>
      <c r="O25" s="228">
        <v>70</v>
      </c>
      <c r="P25" s="228">
        <v>70</v>
      </c>
      <c r="Q25" s="228">
        <v>80</v>
      </c>
      <c r="R25" s="228">
        <v>80</v>
      </c>
      <c r="S25" s="228">
        <v>90</v>
      </c>
      <c r="T25" s="228">
        <v>95</v>
      </c>
      <c r="U25" s="228">
        <v>150</v>
      </c>
      <c r="V25" s="228"/>
      <c r="W25" s="228"/>
      <c r="X25" s="228">
        <f t="shared" si="2"/>
        <v>845</v>
      </c>
      <c r="Y25" s="229">
        <f t="shared" si="9"/>
        <v>0</v>
      </c>
      <c r="Z25" s="236">
        <v>70</v>
      </c>
      <c r="AA25" s="236">
        <v>70</v>
      </c>
      <c r="AB25" s="236">
        <v>70</v>
      </c>
      <c r="AC25" s="197">
        <f>(Z25+AA25+AB25)/(+L25+M25+N25)</f>
        <v>1</v>
      </c>
      <c r="AD25" s="236">
        <v>70</v>
      </c>
      <c r="AE25" s="236">
        <v>70</v>
      </c>
      <c r="AF25" s="236">
        <v>80</v>
      </c>
      <c r="AG25" s="231">
        <f>(+AD25+AE25+AF25)/(+O25+P25+Q25)</f>
        <v>1</v>
      </c>
      <c r="AH25" s="236">
        <v>80</v>
      </c>
      <c r="AI25" s="236">
        <v>90</v>
      </c>
      <c r="AJ25" s="464">
        <v>95</v>
      </c>
      <c r="AK25" s="231">
        <f t="shared" si="3"/>
        <v>1</v>
      </c>
      <c r="AL25" s="587"/>
      <c r="AM25" s="94">
        <v>0</v>
      </c>
      <c r="AN25" s="94">
        <v>400</v>
      </c>
      <c r="AO25" s="94">
        <v>120</v>
      </c>
      <c r="AP25" s="106">
        <f t="shared" si="4"/>
        <v>3.466666666666667</v>
      </c>
      <c r="AQ25" s="83">
        <f t="shared" si="5"/>
        <v>1215</v>
      </c>
      <c r="AR25" s="566" t="s">
        <v>45</v>
      </c>
      <c r="AS25" s="94" t="s">
        <v>102</v>
      </c>
      <c r="AT25" s="84"/>
      <c r="AU25" s="235">
        <v>0</v>
      </c>
      <c r="AV25" s="235">
        <v>0</v>
      </c>
      <c r="AW25" s="235">
        <v>0</v>
      </c>
      <c r="AX25" s="232">
        <f t="shared" si="10"/>
        <v>0</v>
      </c>
      <c r="AY25" s="235">
        <v>0</v>
      </c>
      <c r="AZ25" s="235">
        <v>0</v>
      </c>
      <c r="BA25" s="235">
        <v>0</v>
      </c>
      <c r="BB25" s="199">
        <f t="shared" si="6"/>
        <v>0</v>
      </c>
      <c r="BC25" s="235">
        <v>0</v>
      </c>
      <c r="BD25" s="235">
        <v>0</v>
      </c>
      <c r="BE25" s="235">
        <v>0</v>
      </c>
      <c r="BF25" s="232">
        <f t="shared" si="11"/>
        <v>0</v>
      </c>
      <c r="BG25" s="235">
        <v>0</v>
      </c>
      <c r="BH25" s="235">
        <v>0</v>
      </c>
      <c r="BI25" s="235">
        <v>0</v>
      </c>
      <c r="BJ25" s="199">
        <f t="shared" si="12"/>
        <v>0</v>
      </c>
      <c r="BK25" s="232">
        <f t="shared" si="13"/>
        <v>0</v>
      </c>
      <c r="BL25" s="427">
        <v>0</v>
      </c>
      <c r="BM25" s="110">
        <v>0</v>
      </c>
      <c r="BN25" s="110">
        <v>0</v>
      </c>
      <c r="BO25" s="110">
        <v>0</v>
      </c>
      <c r="BP25" s="266"/>
      <c r="BQ25" s="71">
        <v>0</v>
      </c>
      <c r="BR25" s="71">
        <v>0</v>
      </c>
      <c r="BS25" s="71">
        <v>0</v>
      </c>
      <c r="BT25" s="266"/>
      <c r="BU25" s="71">
        <v>0</v>
      </c>
      <c r="BV25" s="71">
        <v>0</v>
      </c>
      <c r="BW25" s="71">
        <v>0</v>
      </c>
      <c r="BX25" s="266"/>
      <c r="BY25" s="71">
        <v>0</v>
      </c>
      <c r="BZ25" s="71">
        <v>0</v>
      </c>
      <c r="CA25" s="71">
        <v>0</v>
      </c>
      <c r="CB25" s="581" t="e">
        <f t="shared" si="7"/>
        <v>#DIV/0!</v>
      </c>
      <c r="CC25" s="201">
        <f t="shared" si="8"/>
        <v>0</v>
      </c>
      <c r="CD25" s="233"/>
      <c r="CE25" s="67" t="s">
        <v>45</v>
      </c>
      <c r="CF25" s="31" t="s">
        <v>245</v>
      </c>
      <c r="CG25" s="4">
        <f>SUM(CC25:CF25)</f>
        <v>0</v>
      </c>
    </row>
    <row r="26" spans="2:85" ht="114.75" customHeight="1">
      <c r="B26" s="190">
        <v>20</v>
      </c>
      <c r="C26" s="191" t="s">
        <v>197</v>
      </c>
      <c r="D26" s="191" t="s">
        <v>198</v>
      </c>
      <c r="E26" s="234" t="s">
        <v>52</v>
      </c>
      <c r="F26" s="193" t="s">
        <v>58</v>
      </c>
      <c r="G26" s="95" t="s">
        <v>59</v>
      </c>
      <c r="H26" s="193" t="s">
        <v>62</v>
      </c>
      <c r="I26" s="237">
        <v>0</v>
      </c>
      <c r="J26" s="237">
        <v>80</v>
      </c>
      <c r="K26" s="97" t="s">
        <v>61</v>
      </c>
      <c r="L26" s="238">
        <v>0</v>
      </c>
      <c r="M26" s="238">
        <v>0</v>
      </c>
      <c r="N26" s="238">
        <v>0</v>
      </c>
      <c r="O26" s="238">
        <v>0</v>
      </c>
      <c r="P26" s="238">
        <v>0</v>
      </c>
      <c r="Q26" s="238">
        <v>20</v>
      </c>
      <c r="R26" s="238">
        <v>30</v>
      </c>
      <c r="S26" s="238">
        <v>30</v>
      </c>
      <c r="T26" s="238">
        <v>0</v>
      </c>
      <c r="U26" s="238">
        <v>0</v>
      </c>
      <c r="V26" s="238">
        <v>0</v>
      </c>
      <c r="W26" s="238">
        <v>0</v>
      </c>
      <c r="X26" s="238">
        <f t="shared" si="2"/>
        <v>80</v>
      </c>
      <c r="Y26" s="229">
        <f t="shared" si="9"/>
        <v>0</v>
      </c>
      <c r="Z26" s="96">
        <v>0</v>
      </c>
      <c r="AA26" s="96">
        <v>0</v>
      </c>
      <c r="AB26" s="96">
        <v>0</v>
      </c>
      <c r="AC26" s="197">
        <v>0</v>
      </c>
      <c r="AD26" s="96">
        <v>0</v>
      </c>
      <c r="AE26" s="96"/>
      <c r="AF26" s="96">
        <v>20</v>
      </c>
      <c r="AG26" s="231">
        <f>(+AD26+AE26+AF26)/(+O26+P26+Q26)</f>
        <v>1</v>
      </c>
      <c r="AH26" s="96">
        <v>30</v>
      </c>
      <c r="AI26" s="96">
        <v>30</v>
      </c>
      <c r="AJ26" s="465">
        <v>0</v>
      </c>
      <c r="AK26" s="231">
        <f t="shared" si="3"/>
        <v>1</v>
      </c>
      <c r="AL26" s="587"/>
      <c r="AM26" s="96">
        <v>0</v>
      </c>
      <c r="AN26" s="96">
        <v>0</v>
      </c>
      <c r="AO26" s="96">
        <v>0</v>
      </c>
      <c r="AP26" s="106" t="s">
        <v>364</v>
      </c>
      <c r="AQ26" s="83">
        <f t="shared" si="5"/>
        <v>80</v>
      </c>
      <c r="AR26" s="562" t="s">
        <v>63</v>
      </c>
      <c r="AS26" s="94" t="s">
        <v>102</v>
      </c>
      <c r="AT26" s="84"/>
      <c r="AU26" s="235">
        <v>0</v>
      </c>
      <c r="AV26" s="235">
        <v>0</v>
      </c>
      <c r="AW26" s="235">
        <v>0</v>
      </c>
      <c r="AX26" s="232">
        <f t="shared" si="10"/>
        <v>0</v>
      </c>
      <c r="AY26" s="235">
        <v>0</v>
      </c>
      <c r="AZ26" s="235">
        <v>0</v>
      </c>
      <c r="BA26" s="235">
        <v>0</v>
      </c>
      <c r="BB26" s="199">
        <f t="shared" si="6"/>
        <v>0</v>
      </c>
      <c r="BC26" s="235">
        <v>0</v>
      </c>
      <c r="BD26" s="235">
        <v>0</v>
      </c>
      <c r="BE26" s="235">
        <v>0</v>
      </c>
      <c r="BF26" s="232">
        <f t="shared" si="11"/>
        <v>0</v>
      </c>
      <c r="BG26" s="235">
        <v>0</v>
      </c>
      <c r="BH26" s="235">
        <v>0</v>
      </c>
      <c r="BI26" s="235">
        <v>0</v>
      </c>
      <c r="BJ26" s="199">
        <f t="shared" si="12"/>
        <v>0</v>
      </c>
      <c r="BK26" s="232">
        <f t="shared" si="13"/>
        <v>0</v>
      </c>
      <c r="BL26" s="427">
        <v>0</v>
      </c>
      <c r="BM26" s="110">
        <v>0</v>
      </c>
      <c r="BN26" s="110">
        <v>0</v>
      </c>
      <c r="BO26" s="110">
        <v>0</v>
      </c>
      <c r="BP26" s="266"/>
      <c r="BQ26" s="71">
        <v>0</v>
      </c>
      <c r="BR26" s="71">
        <v>0</v>
      </c>
      <c r="BS26" s="71">
        <v>0</v>
      </c>
      <c r="BT26" s="266"/>
      <c r="BU26" s="71">
        <v>0</v>
      </c>
      <c r="BV26" s="71">
        <v>0</v>
      </c>
      <c r="BW26" s="71">
        <v>0</v>
      </c>
      <c r="BX26" s="266"/>
      <c r="BY26" s="71">
        <v>0</v>
      </c>
      <c r="BZ26" s="71">
        <v>0</v>
      </c>
      <c r="CA26" s="71">
        <v>0</v>
      </c>
      <c r="CB26" s="581" t="e">
        <f t="shared" si="7"/>
        <v>#DIV/0!</v>
      </c>
      <c r="CC26" s="201">
        <f t="shared" si="8"/>
        <v>0</v>
      </c>
      <c r="CD26" s="233"/>
      <c r="CE26" s="68" t="s">
        <v>63</v>
      </c>
      <c r="CF26" s="31" t="s">
        <v>245</v>
      </c>
      <c r="CG26" s="4">
        <f>SUM(CG24:CG25)</f>
        <v>0</v>
      </c>
    </row>
    <row r="27" spans="2:84" ht="86.25" customHeight="1" thickBot="1">
      <c r="B27" s="190">
        <v>20</v>
      </c>
      <c r="C27" s="191" t="s">
        <v>197</v>
      </c>
      <c r="D27" s="191" t="s">
        <v>198</v>
      </c>
      <c r="E27" s="234"/>
      <c r="F27" s="193" t="s">
        <v>64</v>
      </c>
      <c r="G27" s="95" t="s">
        <v>65</v>
      </c>
      <c r="H27" s="193" t="s">
        <v>60</v>
      </c>
      <c r="I27" s="237"/>
      <c r="J27" s="237">
        <v>40</v>
      </c>
      <c r="K27" s="97" t="s">
        <v>66</v>
      </c>
      <c r="L27" s="238">
        <v>0</v>
      </c>
      <c r="M27" s="238">
        <v>0</v>
      </c>
      <c r="N27" s="238">
        <v>0</v>
      </c>
      <c r="O27" s="238">
        <v>40</v>
      </c>
      <c r="P27" s="238">
        <v>0</v>
      </c>
      <c r="Q27" s="238">
        <v>0</v>
      </c>
      <c r="R27" s="238">
        <v>0</v>
      </c>
      <c r="S27" s="238">
        <v>0</v>
      </c>
      <c r="T27" s="238">
        <v>0</v>
      </c>
      <c r="U27" s="238">
        <v>0</v>
      </c>
      <c r="V27" s="238">
        <v>0</v>
      </c>
      <c r="W27" s="238">
        <v>0</v>
      </c>
      <c r="X27" s="238">
        <f t="shared" si="2"/>
        <v>40</v>
      </c>
      <c r="Y27" s="395">
        <f t="shared" si="9"/>
        <v>0</v>
      </c>
      <c r="Z27" s="239">
        <v>0</v>
      </c>
      <c r="AA27" s="239">
        <v>0</v>
      </c>
      <c r="AB27" s="239">
        <v>0</v>
      </c>
      <c r="AC27" s="197">
        <v>0</v>
      </c>
      <c r="AD27" s="96">
        <v>33</v>
      </c>
      <c r="AE27" s="96">
        <v>0</v>
      </c>
      <c r="AF27" s="96">
        <v>0</v>
      </c>
      <c r="AG27" s="231">
        <f>(+AD27+AE27+AF27)/(+O27+P27+Q27)</f>
        <v>0.825</v>
      </c>
      <c r="AH27" s="96">
        <v>0</v>
      </c>
      <c r="AI27" s="96">
        <v>0</v>
      </c>
      <c r="AJ27" s="465">
        <v>0</v>
      </c>
      <c r="AK27" s="231" t="e">
        <f t="shared" si="3"/>
        <v>#DIV/0!</v>
      </c>
      <c r="AL27" s="587"/>
      <c r="AM27" s="96">
        <v>0</v>
      </c>
      <c r="AN27" s="96">
        <v>0</v>
      </c>
      <c r="AO27" s="96">
        <v>0</v>
      </c>
      <c r="AP27" s="106" t="e">
        <f t="shared" si="4"/>
        <v>#DIV/0!</v>
      </c>
      <c r="AQ27" s="83">
        <f t="shared" si="5"/>
        <v>33</v>
      </c>
      <c r="AR27" s="566" t="s">
        <v>67</v>
      </c>
      <c r="AS27" s="94" t="s">
        <v>102</v>
      </c>
      <c r="AT27" s="84"/>
      <c r="AU27" s="235">
        <v>0</v>
      </c>
      <c r="AV27" s="235">
        <v>0</v>
      </c>
      <c r="AW27" s="235">
        <v>0</v>
      </c>
      <c r="AX27" s="232">
        <f t="shared" si="10"/>
        <v>0</v>
      </c>
      <c r="AY27" s="235">
        <v>0</v>
      </c>
      <c r="AZ27" s="235">
        <v>0</v>
      </c>
      <c r="BA27" s="235">
        <v>0</v>
      </c>
      <c r="BB27" s="199">
        <f t="shared" si="6"/>
        <v>0</v>
      </c>
      <c r="BC27" s="235">
        <v>0</v>
      </c>
      <c r="BD27" s="235">
        <v>0</v>
      </c>
      <c r="BE27" s="235">
        <v>0</v>
      </c>
      <c r="BF27" s="232">
        <f t="shared" si="11"/>
        <v>0</v>
      </c>
      <c r="BG27" s="235">
        <v>0</v>
      </c>
      <c r="BH27" s="235">
        <v>0</v>
      </c>
      <c r="BI27" s="235">
        <v>0</v>
      </c>
      <c r="BJ27" s="199">
        <f t="shared" si="12"/>
        <v>0</v>
      </c>
      <c r="BK27" s="232">
        <f t="shared" si="13"/>
        <v>0</v>
      </c>
      <c r="BL27" s="427">
        <v>0</v>
      </c>
      <c r="BM27" s="110"/>
      <c r="BN27" s="110"/>
      <c r="BO27" s="110"/>
      <c r="BP27" s="266"/>
      <c r="BQ27" s="71">
        <v>0</v>
      </c>
      <c r="BR27" s="71">
        <v>0</v>
      </c>
      <c r="BS27" s="71">
        <v>0</v>
      </c>
      <c r="BT27" s="266"/>
      <c r="BU27" s="71">
        <v>0</v>
      </c>
      <c r="BV27" s="71">
        <v>0</v>
      </c>
      <c r="BW27" s="71">
        <v>0</v>
      </c>
      <c r="BX27" s="266"/>
      <c r="BY27" s="71">
        <v>0</v>
      </c>
      <c r="BZ27" s="71">
        <v>0</v>
      </c>
      <c r="CA27" s="71">
        <v>0</v>
      </c>
      <c r="CB27" s="581" t="e">
        <f t="shared" si="7"/>
        <v>#DIV/0!</v>
      </c>
      <c r="CC27" s="201">
        <f t="shared" si="8"/>
        <v>0</v>
      </c>
      <c r="CD27" s="233"/>
      <c r="CE27" s="67" t="s">
        <v>67</v>
      </c>
      <c r="CF27" s="31" t="s">
        <v>245</v>
      </c>
    </row>
    <row r="28" spans="2:84" ht="24.75" customHeight="1" thickBot="1">
      <c r="B28" s="204"/>
      <c r="C28" s="205"/>
      <c r="D28" s="205"/>
      <c r="E28" s="33"/>
      <c r="F28" s="33"/>
      <c r="G28" s="33"/>
      <c r="H28" s="33"/>
      <c r="I28" s="111"/>
      <c r="J28" s="111"/>
      <c r="K28" s="33"/>
      <c r="L28" s="206"/>
      <c r="M28" s="206"/>
      <c r="N28" s="206"/>
      <c r="O28" s="206"/>
      <c r="P28" s="206"/>
      <c r="Q28" s="206"/>
      <c r="R28" s="206"/>
      <c r="S28" s="206"/>
      <c r="T28" s="1433" t="s">
        <v>332</v>
      </c>
      <c r="U28" s="1434"/>
      <c r="V28" s="1434"/>
      <c r="W28" s="1434"/>
      <c r="X28" s="1435"/>
      <c r="Y28" s="154">
        <f>SUM(Y21:Y27)</f>
        <v>10194.4</v>
      </c>
      <c r="Z28" s="391"/>
      <c r="AA28" s="111"/>
      <c r="AB28" s="111"/>
      <c r="AC28" s="207"/>
      <c r="AD28" s="111"/>
      <c r="AE28" s="111"/>
      <c r="AF28" s="111"/>
      <c r="AG28" s="111"/>
      <c r="AH28" s="111"/>
      <c r="AI28" s="111"/>
      <c r="AJ28" s="457"/>
      <c r="AK28" s="111"/>
      <c r="AL28" s="71"/>
      <c r="AM28" s="111"/>
      <c r="AN28" s="111"/>
      <c r="AO28" s="111"/>
      <c r="AP28" s="111"/>
      <c r="AQ28" s="111"/>
      <c r="AR28" s="563"/>
      <c r="AS28" s="111"/>
      <c r="AT28" s="161"/>
      <c r="AU28" s="208">
        <f>SUM(AU21:AU27)</f>
        <v>0</v>
      </c>
      <c r="AV28" s="208">
        <f aca="true" t="shared" si="14" ref="AV28:CC28">SUM(AV21:AV27)</f>
        <v>0</v>
      </c>
      <c r="AW28" s="208">
        <f t="shared" si="14"/>
        <v>1000</v>
      </c>
      <c r="AX28" s="208">
        <f t="shared" si="14"/>
        <v>1000</v>
      </c>
      <c r="AY28" s="208">
        <f t="shared" si="14"/>
        <v>0</v>
      </c>
      <c r="AZ28" s="208">
        <f t="shared" si="14"/>
        <v>2500</v>
      </c>
      <c r="BA28" s="208">
        <f t="shared" si="14"/>
        <v>0</v>
      </c>
      <c r="BB28" s="208">
        <f>SUM(BB21:BB27)</f>
        <v>2500</v>
      </c>
      <c r="BC28" s="208">
        <f t="shared" si="14"/>
        <v>0</v>
      </c>
      <c r="BD28" s="208">
        <f t="shared" si="14"/>
        <v>2800</v>
      </c>
      <c r="BE28" s="208">
        <f t="shared" si="14"/>
        <v>0</v>
      </c>
      <c r="BF28" s="208">
        <f t="shared" si="14"/>
        <v>2800</v>
      </c>
      <c r="BG28" s="208">
        <f t="shared" si="14"/>
        <v>2876</v>
      </c>
      <c r="BH28" s="208">
        <f t="shared" si="14"/>
        <v>2</v>
      </c>
      <c r="BI28" s="208">
        <f t="shared" si="14"/>
        <v>1021.3999999999996</v>
      </c>
      <c r="BJ28" s="208">
        <f t="shared" si="14"/>
        <v>3899.3999999999996</v>
      </c>
      <c r="BK28" s="208">
        <f t="shared" si="14"/>
        <v>10194.4</v>
      </c>
      <c r="BL28" s="424">
        <f t="shared" si="14"/>
        <v>10194.4</v>
      </c>
      <c r="BM28" s="209">
        <f t="shared" si="14"/>
        <v>0</v>
      </c>
      <c r="BN28" s="209">
        <f t="shared" si="14"/>
        <v>0</v>
      </c>
      <c r="BO28" s="209">
        <f t="shared" si="14"/>
        <v>0</v>
      </c>
      <c r="BP28" s="273">
        <f t="shared" si="14"/>
        <v>0</v>
      </c>
      <c r="BQ28" s="208">
        <f t="shared" si="14"/>
        <v>0</v>
      </c>
      <c r="BR28" s="208">
        <f t="shared" si="14"/>
        <v>0</v>
      </c>
      <c r="BS28" s="208">
        <f t="shared" si="14"/>
        <v>907.2</v>
      </c>
      <c r="BT28" s="273">
        <f t="shared" si="14"/>
        <v>0.36288000000000004</v>
      </c>
      <c r="BU28" s="208">
        <f t="shared" si="14"/>
        <v>448</v>
      </c>
      <c r="BV28" s="208">
        <f t="shared" si="14"/>
        <v>1528.8</v>
      </c>
      <c r="BW28" s="208">
        <f t="shared" si="14"/>
        <v>1310.4</v>
      </c>
      <c r="BX28" s="273">
        <f t="shared" si="14"/>
        <v>1.174</v>
      </c>
      <c r="BY28" s="208">
        <f t="shared" si="14"/>
        <v>0</v>
      </c>
      <c r="BZ28" s="208">
        <f t="shared" si="14"/>
        <v>0</v>
      </c>
      <c r="CA28" s="208">
        <f t="shared" si="14"/>
        <v>6000</v>
      </c>
      <c r="CB28" s="200" t="e">
        <f t="shared" si="14"/>
        <v>#DIV/0!</v>
      </c>
      <c r="CC28" s="241">
        <f t="shared" si="14"/>
        <v>10194.4</v>
      </c>
      <c r="CD28" s="582">
        <f>+CC28/BK28</f>
        <v>1</v>
      </c>
      <c r="CE28" s="67"/>
      <c r="CF28" s="31"/>
    </row>
    <row r="29" spans="2:90" ht="7.5" customHeight="1">
      <c r="B29" s="204"/>
      <c r="C29" s="205"/>
      <c r="D29" s="205"/>
      <c r="E29" s="33"/>
      <c r="F29" s="33"/>
      <c r="G29" s="33"/>
      <c r="H29" s="33"/>
      <c r="I29" s="111"/>
      <c r="J29" s="111"/>
      <c r="K29" s="33"/>
      <c r="L29" s="206"/>
      <c r="M29" s="206"/>
      <c r="N29" s="206"/>
      <c r="O29" s="206"/>
      <c r="P29" s="206"/>
      <c r="Q29" s="206"/>
      <c r="R29" s="206"/>
      <c r="S29" s="206"/>
      <c r="T29" s="206"/>
      <c r="U29" s="206"/>
      <c r="V29" s="206"/>
      <c r="W29" s="206"/>
      <c r="X29" s="206"/>
      <c r="Y29" s="392"/>
      <c r="Z29" s="111"/>
      <c r="AA29" s="111"/>
      <c r="AB29" s="111"/>
      <c r="AC29" s="207"/>
      <c r="AD29" s="111"/>
      <c r="AE29" s="111"/>
      <c r="AF29" s="111"/>
      <c r="AG29" s="111"/>
      <c r="AH29" s="111"/>
      <c r="AI29" s="111"/>
      <c r="AJ29" s="457"/>
      <c r="AK29" s="111"/>
      <c r="AL29" s="71"/>
      <c r="AM29" s="111"/>
      <c r="AN29" s="111"/>
      <c r="AO29" s="111"/>
      <c r="AP29" s="111"/>
      <c r="AQ29" s="111"/>
      <c r="AR29" s="563"/>
      <c r="AS29" s="111"/>
      <c r="AT29" s="161"/>
      <c r="AU29" s="208"/>
      <c r="AV29" s="208"/>
      <c r="AW29" s="208"/>
      <c r="AX29" s="208"/>
      <c r="AY29" s="208"/>
      <c r="AZ29" s="208"/>
      <c r="BA29" s="208"/>
      <c r="BB29" s="208"/>
      <c r="BC29" s="208"/>
      <c r="BD29" s="242"/>
      <c r="BE29" s="242"/>
      <c r="BF29" s="242"/>
      <c r="BG29" s="242"/>
      <c r="BH29" s="242"/>
      <c r="BI29" s="242"/>
      <c r="BJ29" s="242"/>
      <c r="BK29" s="242"/>
      <c r="BL29" s="424"/>
      <c r="BM29" s="243"/>
      <c r="BN29" s="243"/>
      <c r="BO29" s="243"/>
      <c r="BP29" s="535"/>
      <c r="BQ29" s="242"/>
      <c r="BR29" s="242"/>
      <c r="BS29" s="242"/>
      <c r="BT29" s="535"/>
      <c r="BU29" s="242"/>
      <c r="BV29" s="242"/>
      <c r="BW29" s="242"/>
      <c r="BX29" s="535"/>
      <c r="BY29" s="242"/>
      <c r="BZ29" s="242"/>
      <c r="CA29" s="242"/>
      <c r="CB29" s="81"/>
      <c r="CC29" s="244"/>
      <c r="CD29" s="245"/>
      <c r="CE29" s="94"/>
      <c r="CF29" s="95"/>
      <c r="CG29" s="112"/>
      <c r="CH29" s="112"/>
      <c r="CI29" s="112"/>
      <c r="CJ29" s="112"/>
      <c r="CK29" s="112"/>
      <c r="CL29" s="112"/>
    </row>
    <row r="30" spans="2:84" ht="11.25">
      <c r="B30" s="211">
        <v>1</v>
      </c>
      <c r="C30" s="212">
        <v>2</v>
      </c>
      <c r="D30" s="212">
        <v>3</v>
      </c>
      <c r="E30" s="213">
        <v>6</v>
      </c>
      <c r="F30" s="213">
        <v>7</v>
      </c>
      <c r="G30" s="213"/>
      <c r="H30" s="213">
        <v>9</v>
      </c>
      <c r="I30" s="214">
        <v>10</v>
      </c>
      <c r="J30" s="214">
        <v>11</v>
      </c>
      <c r="K30" s="213">
        <v>12</v>
      </c>
      <c r="L30" s="215">
        <v>13</v>
      </c>
      <c r="M30" s="215"/>
      <c r="N30" s="215"/>
      <c r="O30" s="215"/>
      <c r="P30" s="215"/>
      <c r="Q30" s="215"/>
      <c r="R30" s="215"/>
      <c r="S30" s="215"/>
      <c r="T30" s="215"/>
      <c r="U30" s="215"/>
      <c r="V30" s="215"/>
      <c r="W30" s="215"/>
      <c r="X30" s="213">
        <v>14</v>
      </c>
      <c r="Y30" s="160">
        <v>15</v>
      </c>
      <c r="Z30" s="214">
        <v>16</v>
      </c>
      <c r="AA30" s="214"/>
      <c r="AB30" s="214"/>
      <c r="AC30" s="214"/>
      <c r="AD30" s="214"/>
      <c r="AE30" s="214"/>
      <c r="AF30" s="214"/>
      <c r="AG30" s="214"/>
      <c r="AH30" s="214"/>
      <c r="AI30" s="214"/>
      <c r="AJ30" s="458"/>
      <c r="AK30" s="214"/>
      <c r="AL30" s="216"/>
      <c r="AM30" s="214"/>
      <c r="AN30" s="214"/>
      <c r="AO30" s="214"/>
      <c r="AP30" s="214"/>
      <c r="AQ30" s="214">
        <v>17</v>
      </c>
      <c r="AR30" s="564" t="s">
        <v>23</v>
      </c>
      <c r="AS30" s="214">
        <v>21</v>
      </c>
      <c r="AT30" s="161"/>
      <c r="AU30" s="216">
        <v>13</v>
      </c>
      <c r="AV30" s="216"/>
      <c r="AW30" s="216"/>
      <c r="AX30" s="216"/>
      <c r="AY30" s="216"/>
      <c r="AZ30" s="216"/>
      <c r="BA30" s="216"/>
      <c r="BB30" s="216"/>
      <c r="BC30" s="216"/>
      <c r="BD30" s="216"/>
      <c r="BE30" s="216"/>
      <c r="BF30" s="216"/>
      <c r="BG30" s="216"/>
      <c r="BH30" s="216"/>
      <c r="BI30" s="216"/>
      <c r="BJ30" s="216"/>
      <c r="BK30" s="216">
        <v>14</v>
      </c>
      <c r="BL30" s="425">
        <v>15</v>
      </c>
      <c r="BM30" s="214">
        <v>16</v>
      </c>
      <c r="BN30" s="214"/>
      <c r="BO30" s="214"/>
      <c r="BP30" s="371"/>
      <c r="BQ30" s="214"/>
      <c r="BR30" s="214"/>
      <c r="BS30" s="214"/>
      <c r="BT30" s="371"/>
      <c r="BU30" s="214"/>
      <c r="BV30" s="214"/>
      <c r="BW30" s="214"/>
      <c r="BX30" s="371"/>
      <c r="BY30" s="214"/>
      <c r="BZ30" s="214"/>
      <c r="CA30" s="214"/>
      <c r="CB30" s="214"/>
      <c r="CC30" s="163"/>
      <c r="CD30" s="214"/>
      <c r="CE30" s="214" t="s">
        <v>23</v>
      </c>
      <c r="CF30" s="213">
        <v>21</v>
      </c>
    </row>
    <row r="31" spans="2:84" ht="10.5" customHeight="1" thickBot="1">
      <c r="B31" s="164" t="s">
        <v>4</v>
      </c>
      <c r="C31" s="165"/>
      <c r="D31" s="165"/>
      <c r="E31" s="166"/>
      <c r="F31" s="166"/>
      <c r="G31" s="166"/>
      <c r="H31" s="166"/>
      <c r="I31" s="166"/>
      <c r="J31" s="166"/>
      <c r="K31" s="166"/>
      <c r="L31" s="167"/>
      <c r="M31" s="167"/>
      <c r="N31" s="167" t="s">
        <v>5</v>
      </c>
      <c r="O31" s="167"/>
      <c r="P31" s="167"/>
      <c r="Q31" s="167"/>
      <c r="R31" s="167"/>
      <c r="S31" s="167"/>
      <c r="T31" s="167"/>
      <c r="U31" s="167"/>
      <c r="V31" s="167"/>
      <c r="W31" s="167"/>
      <c r="X31" s="167"/>
      <c r="Y31" s="168"/>
      <c r="Z31" s="168"/>
      <c r="AA31" s="168"/>
      <c r="AB31" s="168"/>
      <c r="AC31" s="168"/>
      <c r="AD31" s="168"/>
      <c r="AE31" s="168"/>
      <c r="AF31" s="168"/>
      <c r="AG31" s="168"/>
      <c r="AH31" s="168"/>
      <c r="AI31" s="168"/>
      <c r="AJ31" s="459"/>
      <c r="AK31" s="168"/>
      <c r="AL31" s="588"/>
      <c r="AM31" s="168"/>
      <c r="AN31" s="168"/>
      <c r="AO31" s="168"/>
      <c r="AP31" s="168"/>
      <c r="AQ31" s="169"/>
      <c r="AR31" s="559"/>
      <c r="AS31" s="169"/>
      <c r="AT31" s="161"/>
      <c r="AU31" s="171"/>
      <c r="AV31" s="171"/>
      <c r="AW31" s="171"/>
      <c r="AX31" s="171"/>
      <c r="AY31" s="171"/>
      <c r="AZ31" s="171"/>
      <c r="BA31" s="171"/>
      <c r="BB31" s="171"/>
      <c r="BC31" s="171"/>
      <c r="BD31" s="171"/>
      <c r="BE31" s="171"/>
      <c r="BF31" s="171"/>
      <c r="BG31" s="171"/>
      <c r="BH31" s="171"/>
      <c r="BI31" s="171"/>
      <c r="BJ31" s="171"/>
      <c r="BK31" s="171"/>
      <c r="BL31" s="421"/>
      <c r="BM31" s="169"/>
      <c r="BN31" s="169"/>
      <c r="BO31" s="169"/>
      <c r="BP31" s="281"/>
      <c r="BQ31" s="169"/>
      <c r="BR31" s="1465" t="s">
        <v>6</v>
      </c>
      <c r="BS31" s="1465"/>
      <c r="BT31" s="1465"/>
      <c r="BU31" s="169"/>
      <c r="BV31" s="169"/>
      <c r="BW31" s="169"/>
      <c r="BX31" s="281"/>
      <c r="BY31" s="169"/>
      <c r="BZ31" s="169"/>
      <c r="CA31" s="169"/>
      <c r="CB31" s="169"/>
      <c r="CC31" s="217"/>
      <c r="CD31" s="169"/>
      <c r="CE31" s="169"/>
      <c r="CF31" s="170"/>
    </row>
    <row r="32" spans="2:84" ht="25.5" customHeight="1" thickBot="1">
      <c r="B32" s="1436" t="s">
        <v>7</v>
      </c>
      <c r="C32" s="1437" t="s">
        <v>8</v>
      </c>
      <c r="D32" s="1437" t="s">
        <v>9</v>
      </c>
      <c r="E32" s="172" t="s">
        <v>10</v>
      </c>
      <c r="F32" s="1424" t="s">
        <v>11</v>
      </c>
      <c r="G32" s="1424" t="s">
        <v>12</v>
      </c>
      <c r="H32" s="1424" t="s">
        <v>13</v>
      </c>
      <c r="I32" s="1424" t="s">
        <v>14</v>
      </c>
      <c r="J32" s="1424" t="s">
        <v>15</v>
      </c>
      <c r="K32" s="1424" t="s">
        <v>16</v>
      </c>
      <c r="L32" s="172"/>
      <c r="M32" s="172"/>
      <c r="N32" s="172"/>
      <c r="O32" s="172"/>
      <c r="P32" s="172"/>
      <c r="Q32" s="1418" t="s">
        <v>280</v>
      </c>
      <c r="R32" s="1418"/>
      <c r="S32" s="1418"/>
      <c r="T32" s="1418"/>
      <c r="U32" s="1418"/>
      <c r="V32" s="172"/>
      <c r="W32" s="172"/>
      <c r="X32" s="1418" t="s">
        <v>289</v>
      </c>
      <c r="Y32" s="1463" t="s">
        <v>17</v>
      </c>
      <c r="Z32" s="407"/>
      <c r="AA32" s="408"/>
      <c r="AB32" s="408"/>
      <c r="AC32" s="409"/>
      <c r="AD32" s="408"/>
      <c r="AE32" s="408"/>
      <c r="AF32" s="410" t="s">
        <v>18</v>
      </c>
      <c r="AG32" s="410"/>
      <c r="AH32" s="410"/>
      <c r="AI32" s="410"/>
      <c r="AJ32" s="460"/>
      <c r="AK32" s="408"/>
      <c r="AL32" s="589"/>
      <c r="AM32" s="408"/>
      <c r="AN32" s="408"/>
      <c r="AO32" s="408"/>
      <c r="AP32" s="411"/>
      <c r="AQ32" s="547" t="s">
        <v>282</v>
      </c>
      <c r="AR32" s="560" t="s">
        <v>19</v>
      </c>
      <c r="AS32" s="176" t="s">
        <v>20</v>
      </c>
      <c r="AT32" s="218"/>
      <c r="AU32" s="177"/>
      <c r="AV32" s="177"/>
      <c r="AW32" s="177"/>
      <c r="AX32" s="177"/>
      <c r="AY32" s="177"/>
      <c r="AZ32" s="1413" t="s">
        <v>283</v>
      </c>
      <c r="BA32" s="1413"/>
      <c r="BB32" s="1413"/>
      <c r="BC32" s="1413"/>
      <c r="BD32" s="1413"/>
      <c r="BE32" s="177"/>
      <c r="BF32" s="177"/>
      <c r="BG32" s="177"/>
      <c r="BH32" s="177"/>
      <c r="BI32" s="177"/>
      <c r="BJ32" s="177"/>
      <c r="BK32" s="1413" t="s">
        <v>284</v>
      </c>
      <c r="BL32" s="1414" t="s">
        <v>285</v>
      </c>
      <c r="BM32" s="173"/>
      <c r="BN32" s="173"/>
      <c r="BO32" s="173"/>
      <c r="BP32" s="178"/>
      <c r="BQ32" s="173"/>
      <c r="BR32" s="178"/>
      <c r="BS32" s="178" t="s">
        <v>324</v>
      </c>
      <c r="BT32" s="178"/>
      <c r="BU32" s="173"/>
      <c r="BV32" s="173"/>
      <c r="BW32" s="173"/>
      <c r="BX32" s="178"/>
      <c r="BY32" s="173"/>
      <c r="BZ32" s="173"/>
      <c r="CA32" s="173"/>
      <c r="CB32" s="173"/>
      <c r="CC32" s="1429" t="s">
        <v>287</v>
      </c>
      <c r="CD32" s="1431" t="s">
        <v>253</v>
      </c>
      <c r="CE32" s="176" t="s">
        <v>19</v>
      </c>
      <c r="CF32" s="547" t="s">
        <v>20</v>
      </c>
    </row>
    <row r="33" spans="2:84" ht="45" customHeight="1">
      <c r="B33" s="1436"/>
      <c r="C33" s="1437"/>
      <c r="D33" s="1437"/>
      <c r="E33" s="172"/>
      <c r="F33" s="1424"/>
      <c r="G33" s="1424"/>
      <c r="H33" s="1424"/>
      <c r="I33" s="1424"/>
      <c r="J33" s="1424"/>
      <c r="K33" s="1424"/>
      <c r="L33" s="179" t="s">
        <v>212</v>
      </c>
      <c r="M33" s="179" t="s">
        <v>213</v>
      </c>
      <c r="N33" s="179" t="s">
        <v>214</v>
      </c>
      <c r="O33" s="179" t="s">
        <v>215</v>
      </c>
      <c r="P33" s="179" t="s">
        <v>216</v>
      </c>
      <c r="Q33" s="179" t="s">
        <v>217</v>
      </c>
      <c r="R33" s="179" t="s">
        <v>218</v>
      </c>
      <c r="S33" s="179" t="s">
        <v>219</v>
      </c>
      <c r="T33" s="179" t="s">
        <v>220</v>
      </c>
      <c r="U33" s="179" t="s">
        <v>221</v>
      </c>
      <c r="V33" s="179" t="s">
        <v>222</v>
      </c>
      <c r="W33" s="179" t="s">
        <v>223</v>
      </c>
      <c r="X33" s="1418"/>
      <c r="Y33" s="1463"/>
      <c r="Z33" s="179" t="s">
        <v>212</v>
      </c>
      <c r="AA33" s="179" t="s">
        <v>213</v>
      </c>
      <c r="AB33" s="179" t="s">
        <v>214</v>
      </c>
      <c r="AC33" s="104" t="s">
        <v>195</v>
      </c>
      <c r="AD33" s="179" t="s">
        <v>215</v>
      </c>
      <c r="AE33" s="179" t="s">
        <v>216</v>
      </c>
      <c r="AF33" s="179" t="s">
        <v>217</v>
      </c>
      <c r="AG33" s="180" t="s">
        <v>193</v>
      </c>
      <c r="AH33" s="179" t="s">
        <v>218</v>
      </c>
      <c r="AI33" s="179" t="s">
        <v>219</v>
      </c>
      <c r="AJ33" s="461" t="s">
        <v>220</v>
      </c>
      <c r="AK33" s="180" t="s">
        <v>194</v>
      </c>
      <c r="AL33" s="590"/>
      <c r="AM33" s="179" t="s">
        <v>221</v>
      </c>
      <c r="AN33" s="179" t="s">
        <v>222</v>
      </c>
      <c r="AO33" s="179" t="s">
        <v>223</v>
      </c>
      <c r="AP33" s="536" t="s">
        <v>196</v>
      </c>
      <c r="AQ33" s="176"/>
      <c r="AR33" s="560"/>
      <c r="AS33" s="181"/>
      <c r="AT33" s="218"/>
      <c r="AU33" s="179" t="s">
        <v>212</v>
      </c>
      <c r="AV33" s="179" t="s">
        <v>213</v>
      </c>
      <c r="AW33" s="179" t="s">
        <v>214</v>
      </c>
      <c r="AX33" s="285" t="s">
        <v>366</v>
      </c>
      <c r="AY33" s="179" t="s">
        <v>215</v>
      </c>
      <c r="AZ33" s="179" t="s">
        <v>216</v>
      </c>
      <c r="BA33" s="179" t="s">
        <v>217</v>
      </c>
      <c r="BB33" s="285" t="s">
        <v>370</v>
      </c>
      <c r="BC33" s="179" t="s">
        <v>218</v>
      </c>
      <c r="BD33" s="179" t="s">
        <v>219</v>
      </c>
      <c r="BE33" s="179" t="s">
        <v>220</v>
      </c>
      <c r="BF33" s="285" t="s">
        <v>371</v>
      </c>
      <c r="BG33" s="179" t="s">
        <v>221</v>
      </c>
      <c r="BH33" s="179" t="s">
        <v>222</v>
      </c>
      <c r="BI33" s="179" t="s">
        <v>223</v>
      </c>
      <c r="BJ33" s="285" t="s">
        <v>374</v>
      </c>
      <c r="BK33" s="1413"/>
      <c r="BL33" s="1414"/>
      <c r="BM33" s="179" t="s">
        <v>212</v>
      </c>
      <c r="BN33" s="179" t="s">
        <v>213</v>
      </c>
      <c r="BO33" s="179" t="s">
        <v>214</v>
      </c>
      <c r="BP33" s="182" t="s">
        <v>195</v>
      </c>
      <c r="BQ33" s="179" t="s">
        <v>215</v>
      </c>
      <c r="BR33" s="179" t="s">
        <v>216</v>
      </c>
      <c r="BS33" s="179" t="s">
        <v>217</v>
      </c>
      <c r="BT33" s="286" t="s">
        <v>193</v>
      </c>
      <c r="BU33" s="179" t="s">
        <v>218</v>
      </c>
      <c r="BV33" s="179" t="s">
        <v>219</v>
      </c>
      <c r="BW33" s="179" t="s">
        <v>220</v>
      </c>
      <c r="BX33" s="286" t="s">
        <v>194</v>
      </c>
      <c r="BY33" s="179" t="s">
        <v>221</v>
      </c>
      <c r="BZ33" s="179" t="s">
        <v>222</v>
      </c>
      <c r="CA33" s="179" t="s">
        <v>223</v>
      </c>
      <c r="CB33" s="90" t="s">
        <v>196</v>
      </c>
      <c r="CC33" s="1430"/>
      <c r="CD33" s="1432"/>
      <c r="CE33" s="176"/>
      <c r="CF33" s="221"/>
    </row>
    <row r="34" spans="1:84" ht="18.75" customHeight="1" thickBot="1">
      <c r="A34" s="4">
        <v>3</v>
      </c>
      <c r="B34" s="246" t="s">
        <v>24</v>
      </c>
      <c r="C34" s="247"/>
      <c r="D34" s="247"/>
      <c r="E34" s="248"/>
      <c r="F34" s="248"/>
      <c r="G34" s="248"/>
      <c r="H34" s="248"/>
      <c r="I34" s="249"/>
      <c r="J34" s="249"/>
      <c r="K34" s="250"/>
      <c r="L34" s="248"/>
      <c r="M34" s="248"/>
      <c r="N34" s="248"/>
      <c r="O34" s="248"/>
      <c r="P34" s="248"/>
      <c r="Q34" s="248"/>
      <c r="R34" s="248"/>
      <c r="S34" s="248"/>
      <c r="T34" s="248"/>
      <c r="U34" s="248"/>
      <c r="V34" s="248"/>
      <c r="W34" s="248"/>
      <c r="X34" s="248"/>
      <c r="Y34" s="251"/>
      <c r="Z34" s="249"/>
      <c r="AA34" s="249"/>
      <c r="AB34" s="249"/>
      <c r="AC34" s="197"/>
      <c r="AD34" s="249"/>
      <c r="AE34" s="249"/>
      <c r="AF34" s="249"/>
      <c r="AG34" s="187"/>
      <c r="AH34" s="249"/>
      <c r="AI34" s="249"/>
      <c r="AJ34" s="466"/>
      <c r="AK34" s="187"/>
      <c r="AL34" s="586"/>
      <c r="AM34" s="249"/>
      <c r="AN34" s="249"/>
      <c r="AO34" s="249"/>
      <c r="AP34" s="187"/>
      <c r="AQ34" s="249"/>
      <c r="AR34" s="248"/>
      <c r="AS34" s="249"/>
      <c r="AT34" s="252"/>
      <c r="AU34" s="253"/>
      <c r="AV34" s="253"/>
      <c r="AW34" s="253"/>
      <c r="AX34" s="253"/>
      <c r="AY34" s="253"/>
      <c r="AZ34" s="253"/>
      <c r="BA34" s="253"/>
      <c r="BB34" s="253"/>
      <c r="BC34" s="253"/>
      <c r="BD34" s="253"/>
      <c r="BE34" s="253"/>
      <c r="BF34" s="253"/>
      <c r="BG34" s="253"/>
      <c r="BH34" s="253"/>
      <c r="BI34" s="253"/>
      <c r="BJ34" s="253"/>
      <c r="BK34" s="253"/>
      <c r="BL34" s="428"/>
      <c r="BM34" s="254"/>
      <c r="BN34" s="254"/>
      <c r="BO34" s="254"/>
      <c r="BP34" s="296"/>
      <c r="BQ34" s="253"/>
      <c r="BR34" s="253"/>
      <c r="BS34" s="253"/>
      <c r="BT34" s="296"/>
      <c r="BU34" s="253"/>
      <c r="BV34" s="253"/>
      <c r="BW34" s="253"/>
      <c r="BX34" s="296"/>
      <c r="BY34" s="253"/>
      <c r="BZ34" s="253"/>
      <c r="CA34" s="253"/>
      <c r="CB34" s="91"/>
      <c r="CC34" s="255"/>
      <c r="CD34" s="249"/>
      <c r="CE34" s="249"/>
      <c r="CF34" s="248"/>
    </row>
    <row r="35" spans="1:84" ht="42.75" customHeight="1" thickBot="1">
      <c r="A35" s="133"/>
      <c r="B35" s="56" t="s">
        <v>204</v>
      </c>
      <c r="C35" s="119" t="s">
        <v>205</v>
      </c>
      <c r="D35" s="119" t="s">
        <v>202</v>
      </c>
      <c r="E35" s="1460" t="s">
        <v>242</v>
      </c>
      <c r="F35" s="1460" t="s">
        <v>192</v>
      </c>
      <c r="G35" s="1464" t="s">
        <v>68</v>
      </c>
      <c r="H35" s="1460" t="s">
        <v>69</v>
      </c>
      <c r="I35" s="1459"/>
      <c r="J35" s="1459"/>
      <c r="K35" s="1460" t="s">
        <v>313</v>
      </c>
      <c r="L35" s="1460">
        <v>0</v>
      </c>
      <c r="M35" s="1460">
        <v>0</v>
      </c>
      <c r="N35" s="1460">
        <v>0</v>
      </c>
      <c r="O35" s="1460">
        <v>1</v>
      </c>
      <c r="P35" s="1460">
        <v>1</v>
      </c>
      <c r="Q35" s="1460">
        <v>0</v>
      </c>
      <c r="R35" s="1460">
        <v>0</v>
      </c>
      <c r="S35" s="1460">
        <v>1</v>
      </c>
      <c r="T35" s="1460">
        <v>0</v>
      </c>
      <c r="U35" s="1460">
        <v>0</v>
      </c>
      <c r="V35" s="1460">
        <v>0</v>
      </c>
      <c r="W35" s="1460">
        <v>0</v>
      </c>
      <c r="X35" s="1457"/>
      <c r="Y35" s="533">
        <f aca="true" t="shared" si="15" ref="Y35:Y53">+BK35</f>
        <v>381671.95</v>
      </c>
      <c r="Z35" s="126">
        <v>0</v>
      </c>
      <c r="AA35" s="126">
        <v>0</v>
      </c>
      <c r="AB35" s="126">
        <v>0</v>
      </c>
      <c r="AC35" s="104"/>
      <c r="AD35" s="126">
        <v>1</v>
      </c>
      <c r="AE35" s="126">
        <v>1</v>
      </c>
      <c r="AF35" s="126">
        <v>0</v>
      </c>
      <c r="AG35" s="231">
        <f aca="true" t="shared" si="16" ref="AG35:AG53">(+AD35+AE35+AF35)/(+O35+P35+Q35)</f>
        <v>1</v>
      </c>
      <c r="AH35" s="126">
        <v>0</v>
      </c>
      <c r="AI35" s="126">
        <v>1</v>
      </c>
      <c r="AJ35" s="467">
        <v>0</v>
      </c>
      <c r="AK35" s="231">
        <f aca="true" t="shared" si="17" ref="AK35:AK53">+(AH35+AI35+AJ35)/(+R35+S35+T35)</f>
        <v>1</v>
      </c>
      <c r="AL35" s="587">
        <v>275720.43</v>
      </c>
      <c r="AM35" s="126"/>
      <c r="AN35" s="126"/>
      <c r="AO35" s="126"/>
      <c r="AP35" s="127"/>
      <c r="AQ35" s="83">
        <f aca="true" t="shared" si="18" ref="AQ35:AQ45">+AO35+AN35+AM35+AJ35+AI35+AH35+AF35+AE35+AD35+AB35+AA35+Z35</f>
        <v>3</v>
      </c>
      <c r="AR35" s="554"/>
      <c r="AS35" s="101" t="s">
        <v>306</v>
      </c>
      <c r="AT35" s="161"/>
      <c r="AU35" s="60">
        <v>0</v>
      </c>
      <c r="AV35" s="60">
        <v>0</v>
      </c>
      <c r="AW35" s="60">
        <v>0</v>
      </c>
      <c r="AX35" s="232">
        <f aca="true" t="shared" si="19" ref="AX35:AX53">SUM(AU35:AW35)</f>
        <v>0</v>
      </c>
      <c r="AY35" s="71">
        <v>172000</v>
      </c>
      <c r="AZ35" s="71">
        <v>115000</v>
      </c>
      <c r="BA35" s="60">
        <v>0</v>
      </c>
      <c r="BB35" s="60">
        <f>SUM(AY35:BA35)</f>
        <v>287000</v>
      </c>
      <c r="BC35" s="60">
        <v>0</v>
      </c>
      <c r="BD35" s="60">
        <f>463137.95-287000</f>
        <v>176137.95</v>
      </c>
      <c r="BE35" s="60">
        <v>0</v>
      </c>
      <c r="BF35" s="60">
        <f>SUM(BC35:BE35)</f>
        <v>176137.95</v>
      </c>
      <c r="BG35" s="60">
        <v>0</v>
      </c>
      <c r="BH35" s="60">
        <v>0</v>
      </c>
      <c r="BI35" s="60">
        <f>381671.95-463137.95</f>
        <v>-81466</v>
      </c>
      <c r="BJ35" s="60">
        <f>SUM(BG35:BI35)</f>
        <v>-81466</v>
      </c>
      <c r="BK35" s="109">
        <v>381671.95</v>
      </c>
      <c r="BL35" s="429"/>
      <c r="BM35" s="110">
        <v>0</v>
      </c>
      <c r="BN35" s="110">
        <v>0</v>
      </c>
      <c r="BO35" s="110">
        <v>0</v>
      </c>
      <c r="BP35" s="266"/>
      <c r="BQ35" s="108"/>
      <c r="BR35" s="108"/>
      <c r="BS35" s="71">
        <v>143255.84</v>
      </c>
      <c r="BT35" s="266">
        <f>+(BQ35+BR35+BS35)/(AY35+AZ35+BA35)</f>
        <v>0.4991492682926829</v>
      </c>
      <c r="BU35" s="71">
        <v>0</v>
      </c>
      <c r="BV35" s="71">
        <v>113124.37</v>
      </c>
      <c r="BW35" s="71">
        <v>0</v>
      </c>
      <c r="BX35" s="266">
        <f>+(BU35+BV35+BW35)/(BC35+BD35+BE35)</f>
        <v>0.6422487033600651</v>
      </c>
      <c r="BY35" s="71">
        <v>4085.76</v>
      </c>
      <c r="BZ35" s="71">
        <v>15254.46</v>
      </c>
      <c r="CA35" s="71">
        <v>35280</v>
      </c>
      <c r="CB35" s="581">
        <f>+(BY35+BZ35+CA35)/(BG35+BH35+BI35)</f>
        <v>-0.6704664522622935</v>
      </c>
      <c r="CC35" s="201">
        <f>+BM35+BN35+BO35+BQ35+BR35+BS35+BU35+BV35+BW35+BY35+BZ35+CA35</f>
        <v>311000.43</v>
      </c>
      <c r="CD35" s="582">
        <f aca="true" t="shared" si="20" ref="CD35:CD54">+CC35/BK35</f>
        <v>0.8148370085881343</v>
      </c>
      <c r="CE35" s="69" t="s">
        <v>63</v>
      </c>
      <c r="CF35" s="22" t="s">
        <v>325</v>
      </c>
    </row>
    <row r="36" spans="1:84" ht="39" customHeight="1" thickBot="1">
      <c r="A36" s="133"/>
      <c r="B36" s="56" t="s">
        <v>199</v>
      </c>
      <c r="C36" s="119" t="s">
        <v>200</v>
      </c>
      <c r="D36" s="119" t="s">
        <v>198</v>
      </c>
      <c r="E36" s="1460"/>
      <c r="F36" s="1460"/>
      <c r="G36" s="1464"/>
      <c r="H36" s="1460"/>
      <c r="I36" s="1459"/>
      <c r="J36" s="1459"/>
      <c r="K36" s="1460"/>
      <c r="L36" s="1460"/>
      <c r="M36" s="1460"/>
      <c r="N36" s="1460"/>
      <c r="O36" s="1460"/>
      <c r="P36" s="1460"/>
      <c r="Q36" s="1460"/>
      <c r="R36" s="1460"/>
      <c r="S36" s="1460"/>
      <c r="T36" s="1460"/>
      <c r="U36" s="1460"/>
      <c r="V36" s="1460"/>
      <c r="W36" s="1460"/>
      <c r="X36" s="1457"/>
      <c r="Y36" s="533">
        <f t="shared" si="15"/>
        <v>99747.64</v>
      </c>
      <c r="Z36" s="126">
        <v>0</v>
      </c>
      <c r="AA36" s="126">
        <v>0</v>
      </c>
      <c r="AB36" s="126">
        <v>0</v>
      </c>
      <c r="AC36" s="104"/>
      <c r="AD36" s="126">
        <v>0</v>
      </c>
      <c r="AE36" s="126">
        <v>0</v>
      </c>
      <c r="AF36" s="126">
        <v>0</v>
      </c>
      <c r="AG36" s="127"/>
      <c r="AH36" s="126"/>
      <c r="AI36" s="126"/>
      <c r="AJ36" s="467"/>
      <c r="AK36" s="128"/>
      <c r="AL36" s="592">
        <v>42125.5</v>
      </c>
      <c r="AM36" s="126"/>
      <c r="AN36" s="126"/>
      <c r="AO36" s="126"/>
      <c r="AP36" s="127"/>
      <c r="AQ36" s="83">
        <f t="shared" si="18"/>
        <v>0</v>
      </c>
      <c r="AR36" s="554"/>
      <c r="AS36" s="549" t="s">
        <v>303</v>
      </c>
      <c r="AT36" s="161"/>
      <c r="AU36" s="60">
        <v>0</v>
      </c>
      <c r="AV36" s="60">
        <v>5000</v>
      </c>
      <c r="AW36" s="60">
        <v>0</v>
      </c>
      <c r="AX36" s="232">
        <f t="shared" si="19"/>
        <v>5000</v>
      </c>
      <c r="AY36" s="60">
        <v>0</v>
      </c>
      <c r="AZ36" s="60">
        <v>22000</v>
      </c>
      <c r="BA36" s="60">
        <v>15000</v>
      </c>
      <c r="BB36" s="138">
        <f aca="true" t="shared" si="21" ref="BB36:BB52">SUM(AY36:BA36)</f>
        <v>37000</v>
      </c>
      <c r="BC36" s="60"/>
      <c r="BD36" s="60">
        <v>20000</v>
      </c>
      <c r="BE36" s="60">
        <v>30000</v>
      </c>
      <c r="BF36" s="60">
        <f aca="true" t="shared" si="22" ref="BF36:BF53">SUM(BC36:BE36)</f>
        <v>50000</v>
      </c>
      <c r="BG36" s="60">
        <v>7747.64</v>
      </c>
      <c r="BH36" s="60">
        <v>0</v>
      </c>
      <c r="BI36" s="60">
        <v>0</v>
      </c>
      <c r="BJ36" s="609">
        <f>SUM(BG36:BI36)</f>
        <v>7747.64</v>
      </c>
      <c r="BK36" s="610">
        <v>99747.64</v>
      </c>
      <c r="BL36" s="429"/>
      <c r="BM36" s="110">
        <v>0</v>
      </c>
      <c r="BN36" s="110">
        <v>0</v>
      </c>
      <c r="BO36" s="110">
        <v>1889.44</v>
      </c>
      <c r="BP36" s="266">
        <f>+(BM36+BN36+BO36)/(AU36+AV36+AW36)</f>
        <v>0.377888</v>
      </c>
      <c r="BQ36" s="71"/>
      <c r="BR36" s="60">
        <v>20226.18</v>
      </c>
      <c r="BS36" s="60">
        <v>10000.57</v>
      </c>
      <c r="BT36" s="266">
        <f>+(BQ36+BR36+BS36)/(AY36+AZ36+BA36)</f>
        <v>0.8169391891891892</v>
      </c>
      <c r="BU36" s="60">
        <v>874.16</v>
      </c>
      <c r="BV36" s="60">
        <v>6990.44</v>
      </c>
      <c r="BW36" s="60">
        <v>6867.33</v>
      </c>
      <c r="BX36" s="266">
        <f>+(BU36+BV36+BW36)/(BC36+BD36+BE36)</f>
        <v>0.29463860000000003</v>
      </c>
      <c r="BY36" s="71">
        <v>0</v>
      </c>
      <c r="BZ36" s="71">
        <v>1807.4</v>
      </c>
      <c r="CA36" s="71">
        <f>34128.57+0.01</f>
        <v>34128.58</v>
      </c>
      <c r="CB36" s="581">
        <f>+(BY36+BZ36+CA36)/(BG36+BH36+BI36)</f>
        <v>4.638313086307573</v>
      </c>
      <c r="CC36" s="201">
        <f>+BM36+BN36+BO36+BQ36+BR36+BS36+BU36+BV36+BW36+BY36+BZ36+CA36</f>
        <v>82784.1</v>
      </c>
      <c r="CD36" s="582">
        <f t="shared" si="20"/>
        <v>0.8299354250386275</v>
      </c>
      <c r="CE36" s="140" t="s">
        <v>326</v>
      </c>
      <c r="CF36" s="22" t="s">
        <v>327</v>
      </c>
    </row>
    <row r="37" spans="2:84" ht="79.5" customHeight="1" thickBot="1">
      <c r="B37" s="56" t="s">
        <v>204</v>
      </c>
      <c r="C37" s="119" t="s">
        <v>205</v>
      </c>
      <c r="D37" s="119" t="s">
        <v>202</v>
      </c>
      <c r="E37" s="1460"/>
      <c r="F37" s="546" t="s">
        <v>70</v>
      </c>
      <c r="G37" s="256" t="s">
        <v>83</v>
      </c>
      <c r="H37" s="546" t="s">
        <v>84</v>
      </c>
      <c r="I37" s="257">
        <v>0</v>
      </c>
      <c r="J37" s="257">
        <v>1</v>
      </c>
      <c r="K37" s="258" t="s">
        <v>87</v>
      </c>
      <c r="L37" s="259">
        <v>0</v>
      </c>
      <c r="M37" s="259">
        <v>1</v>
      </c>
      <c r="N37" s="259">
        <v>0</v>
      </c>
      <c r="O37" s="259"/>
      <c r="P37" s="259">
        <v>0</v>
      </c>
      <c r="Q37" s="259">
        <v>0</v>
      </c>
      <c r="R37" s="259">
        <v>0</v>
      </c>
      <c r="S37" s="259">
        <v>0</v>
      </c>
      <c r="T37" s="259">
        <v>0</v>
      </c>
      <c r="U37" s="259">
        <v>0</v>
      </c>
      <c r="V37" s="259">
        <v>0</v>
      </c>
      <c r="W37" s="259">
        <v>0</v>
      </c>
      <c r="X37" s="548">
        <f aca="true" t="shared" si="23" ref="X37:X44">SUM(L37:W37)</f>
        <v>1</v>
      </c>
      <c r="Y37" s="533">
        <f t="shared" si="15"/>
        <v>145797.46</v>
      </c>
      <c r="Z37" s="81">
        <v>0</v>
      </c>
      <c r="AA37" s="81">
        <v>0</v>
      </c>
      <c r="AB37" s="81">
        <v>1</v>
      </c>
      <c r="AC37" s="104">
        <f aca="true" t="shared" si="24" ref="AC37:AC53">(Z37+AA37+AB37)/(+L37+M37+N37)</f>
        <v>1</v>
      </c>
      <c r="AD37" s="81">
        <v>0</v>
      </c>
      <c r="AE37" s="81">
        <v>0</v>
      </c>
      <c r="AF37" s="81">
        <v>0</v>
      </c>
      <c r="AG37" s="231"/>
      <c r="AH37" s="81">
        <v>0</v>
      </c>
      <c r="AI37" s="81">
        <v>0</v>
      </c>
      <c r="AJ37" s="468">
        <v>0</v>
      </c>
      <c r="AK37" s="231"/>
      <c r="AL37" s="587"/>
      <c r="AM37" s="81">
        <v>0</v>
      </c>
      <c r="AN37" s="81"/>
      <c r="AO37" s="81"/>
      <c r="AP37" s="231" t="e">
        <f aca="true" t="shared" si="25" ref="AP37:AP53">(AM37+AN37+AO37)/(+U37+V37+W37)</f>
        <v>#DIV/0!</v>
      </c>
      <c r="AQ37" s="83">
        <f t="shared" si="18"/>
        <v>1</v>
      </c>
      <c r="AR37" s="554" t="s">
        <v>93</v>
      </c>
      <c r="AS37" s="101"/>
      <c r="AT37" s="161"/>
      <c r="AU37" s="60">
        <v>0</v>
      </c>
      <c r="AV37" s="60">
        <v>0</v>
      </c>
      <c r="AW37" s="108">
        <v>0</v>
      </c>
      <c r="AX37" s="232">
        <f t="shared" si="19"/>
        <v>0</v>
      </c>
      <c r="AY37" s="108">
        <v>0</v>
      </c>
      <c r="AZ37" s="60">
        <f>145797.46/2</f>
        <v>72898.73</v>
      </c>
      <c r="BA37" s="108">
        <v>0</v>
      </c>
      <c r="BB37" s="138">
        <f t="shared" si="21"/>
        <v>72898.73</v>
      </c>
      <c r="BC37" s="60">
        <v>0</v>
      </c>
      <c r="BD37" s="108">
        <v>0</v>
      </c>
      <c r="BE37" s="60">
        <v>0</v>
      </c>
      <c r="BF37" s="60">
        <f t="shared" si="22"/>
        <v>0</v>
      </c>
      <c r="BG37" s="60">
        <f>145797.46/2</f>
        <v>72898.73</v>
      </c>
      <c r="BH37" s="60">
        <v>0</v>
      </c>
      <c r="BJ37" s="60">
        <f aca="true" t="shared" si="26" ref="BJ37:BJ53">SUM(BG37:BI37)</f>
        <v>72898.73</v>
      </c>
      <c r="BK37" s="610">
        <f aca="true" t="shared" si="27" ref="BK37:BK53">+BJ37+BF37+BB37+AX37</f>
        <v>145797.46</v>
      </c>
      <c r="BL37" s="429"/>
      <c r="BM37" s="110">
        <v>0</v>
      </c>
      <c r="BN37" s="110">
        <v>0</v>
      </c>
      <c r="BO37" s="110">
        <v>0</v>
      </c>
      <c r="BP37" s="266"/>
      <c r="BQ37" s="71">
        <v>0</v>
      </c>
      <c r="BR37" s="71">
        <v>0</v>
      </c>
      <c r="BS37" s="71">
        <v>0</v>
      </c>
      <c r="BT37" s="266"/>
      <c r="BU37" s="71">
        <v>0</v>
      </c>
      <c r="BV37" s="71">
        <v>0</v>
      </c>
      <c r="BW37" s="71">
        <v>0</v>
      </c>
      <c r="BX37" s="266"/>
      <c r="BY37" s="71">
        <v>0</v>
      </c>
      <c r="BZ37" s="71">
        <v>0</v>
      </c>
      <c r="CA37" s="71">
        <f>187972.69-133280</f>
        <v>54692.69</v>
      </c>
      <c r="CB37" s="581">
        <f>+(BY37+BZ37+CA37)/(BG37+BH37+BI43)</f>
        <v>0.7502557314784497</v>
      </c>
      <c r="CC37" s="201">
        <f>+BM37+BN37+BO37+BQ37+BR37+BS37+BU37+BV37+BW37+BY37+BZ37+CA37</f>
        <v>54692.69</v>
      </c>
      <c r="CD37" s="582">
        <f t="shared" si="20"/>
        <v>0.37512786573922485</v>
      </c>
      <c r="CE37" s="69" t="s">
        <v>93</v>
      </c>
      <c r="CF37" s="22" t="s">
        <v>251</v>
      </c>
    </row>
    <row r="38" spans="2:84" ht="53.25" customHeight="1" thickBot="1">
      <c r="B38" s="56" t="s">
        <v>204</v>
      </c>
      <c r="C38" s="119" t="s">
        <v>205</v>
      </c>
      <c r="D38" s="119" t="s">
        <v>202</v>
      </c>
      <c r="E38" s="1460"/>
      <c r="F38" s="546" t="s">
        <v>225</v>
      </c>
      <c r="G38" s="256" t="s">
        <v>83</v>
      </c>
      <c r="H38" s="546" t="s">
        <v>84</v>
      </c>
      <c r="I38" s="257">
        <v>0</v>
      </c>
      <c r="J38" s="257">
        <v>1</v>
      </c>
      <c r="K38" s="258" t="s">
        <v>224</v>
      </c>
      <c r="L38" s="259">
        <v>0</v>
      </c>
      <c r="M38" s="259">
        <v>0</v>
      </c>
      <c r="N38" s="259">
        <v>1</v>
      </c>
      <c r="O38" s="259">
        <v>0</v>
      </c>
      <c r="P38" s="259">
        <v>0</v>
      </c>
      <c r="Q38" s="259">
        <v>0</v>
      </c>
      <c r="R38" s="259">
        <v>0</v>
      </c>
      <c r="S38" s="259">
        <v>0</v>
      </c>
      <c r="T38" s="259">
        <v>0</v>
      </c>
      <c r="U38" s="259">
        <v>0</v>
      </c>
      <c r="V38" s="259">
        <v>0</v>
      </c>
      <c r="W38" s="259">
        <v>0</v>
      </c>
      <c r="X38" s="548">
        <f t="shared" si="23"/>
        <v>1</v>
      </c>
      <c r="Y38" s="533">
        <f t="shared" si="15"/>
        <v>56560</v>
      </c>
      <c r="Z38" s="81">
        <v>0</v>
      </c>
      <c r="AA38" s="81">
        <v>0</v>
      </c>
      <c r="AB38" s="81">
        <v>0</v>
      </c>
      <c r="AC38" s="104">
        <f t="shared" si="24"/>
        <v>0</v>
      </c>
      <c r="AD38" s="81">
        <v>0</v>
      </c>
      <c r="AE38" s="81">
        <v>0</v>
      </c>
      <c r="AF38" s="81">
        <v>0</v>
      </c>
      <c r="AG38" s="231"/>
      <c r="AH38" s="81">
        <v>0</v>
      </c>
      <c r="AI38" s="81">
        <v>1</v>
      </c>
      <c r="AJ38" s="468">
        <v>0</v>
      </c>
      <c r="AK38" s="231"/>
      <c r="AL38" s="587"/>
      <c r="AM38" s="81">
        <v>0</v>
      </c>
      <c r="AN38" s="81"/>
      <c r="AO38" s="81"/>
      <c r="AP38" s="231" t="e">
        <f t="shared" si="25"/>
        <v>#DIV/0!</v>
      </c>
      <c r="AQ38" s="83">
        <f t="shared" si="18"/>
        <v>1</v>
      </c>
      <c r="AR38" s="554" t="s">
        <v>94</v>
      </c>
      <c r="AS38" s="101"/>
      <c r="AT38" s="161"/>
      <c r="AU38" s="60">
        <v>0</v>
      </c>
      <c r="AV38" s="60">
        <v>0</v>
      </c>
      <c r="AW38" s="108">
        <v>0</v>
      </c>
      <c r="AX38" s="232">
        <f t="shared" si="19"/>
        <v>0</v>
      </c>
      <c r="AY38" s="108">
        <v>0</v>
      </c>
      <c r="AZ38" s="60">
        <v>26579</v>
      </c>
      <c r="BA38" s="60">
        <v>0</v>
      </c>
      <c r="BB38" s="138">
        <f t="shared" si="21"/>
        <v>26579</v>
      </c>
      <c r="BC38" s="60">
        <v>0</v>
      </c>
      <c r="BD38" s="60">
        <v>26579.25</v>
      </c>
      <c r="BE38" s="60"/>
      <c r="BF38" s="60">
        <f t="shared" si="22"/>
        <v>26579.25</v>
      </c>
      <c r="BG38" s="60">
        <v>0</v>
      </c>
      <c r="BH38" s="60">
        <v>0</v>
      </c>
      <c r="BI38" s="60">
        <f>56560-53158.25</f>
        <v>3401.75</v>
      </c>
      <c r="BJ38" s="60">
        <f t="shared" si="26"/>
        <v>3401.75</v>
      </c>
      <c r="BK38" s="109">
        <f t="shared" si="27"/>
        <v>56560</v>
      </c>
      <c r="BL38" s="429"/>
      <c r="BM38" s="110">
        <v>0</v>
      </c>
      <c r="BN38" s="110">
        <v>0</v>
      </c>
      <c r="BO38" s="110">
        <v>0</v>
      </c>
      <c r="BP38" s="266"/>
      <c r="BQ38" s="71">
        <v>0</v>
      </c>
      <c r="BR38" s="71">
        <v>0</v>
      </c>
      <c r="BS38" s="71">
        <v>0</v>
      </c>
      <c r="BT38" s="266"/>
      <c r="BU38" s="71">
        <v>0</v>
      </c>
      <c r="BV38" s="71">
        <v>0</v>
      </c>
      <c r="BW38" s="71">
        <v>0</v>
      </c>
      <c r="BX38" s="266"/>
      <c r="BY38" s="71">
        <v>56560</v>
      </c>
      <c r="BZ38" s="71"/>
      <c r="CB38" s="581">
        <f>+(BY38+BZ38+CA39)/(BG38+BH38+BI38)</f>
        <v>16.62673623870067</v>
      </c>
      <c r="CC38" s="201">
        <f>+BM38+BN38+BO38+BQ38+BR38+BS38+BU38+BV38+BW38+BY38+BZ38+CA38</f>
        <v>56560</v>
      </c>
      <c r="CD38" s="582">
        <f t="shared" si="20"/>
        <v>1</v>
      </c>
      <c r="CE38" s="69" t="s">
        <v>94</v>
      </c>
      <c r="CF38" s="22" t="s">
        <v>328</v>
      </c>
    </row>
    <row r="39" spans="2:84" ht="56.25" customHeight="1" thickBot="1">
      <c r="B39" s="56" t="s">
        <v>204</v>
      </c>
      <c r="C39" s="119" t="s">
        <v>205</v>
      </c>
      <c r="D39" s="119" t="s">
        <v>202</v>
      </c>
      <c r="E39" s="1460"/>
      <c r="F39" s="546" t="s">
        <v>71</v>
      </c>
      <c r="G39" s="256" t="s">
        <v>83</v>
      </c>
      <c r="H39" s="546" t="s">
        <v>84</v>
      </c>
      <c r="I39" s="257">
        <v>0</v>
      </c>
      <c r="J39" s="257">
        <v>1</v>
      </c>
      <c r="K39" s="258" t="s">
        <v>211</v>
      </c>
      <c r="L39" s="259">
        <v>0</v>
      </c>
      <c r="M39" s="259">
        <v>0</v>
      </c>
      <c r="N39" s="259">
        <v>1</v>
      </c>
      <c r="O39" s="259">
        <v>0</v>
      </c>
      <c r="P39" s="259">
        <v>0</v>
      </c>
      <c r="Q39" s="259">
        <v>0</v>
      </c>
      <c r="R39" s="259">
        <v>0</v>
      </c>
      <c r="S39" s="259">
        <v>0</v>
      </c>
      <c r="T39" s="259">
        <v>0</v>
      </c>
      <c r="U39" s="259">
        <v>0</v>
      </c>
      <c r="V39" s="259">
        <v>0</v>
      </c>
      <c r="W39" s="259">
        <v>0</v>
      </c>
      <c r="X39" s="548">
        <f t="shared" si="23"/>
        <v>1</v>
      </c>
      <c r="Y39" s="533">
        <f t="shared" si="15"/>
        <v>16576</v>
      </c>
      <c r="Z39" s="81">
        <v>0</v>
      </c>
      <c r="AA39" s="81">
        <v>0</v>
      </c>
      <c r="AB39" s="81">
        <v>0</v>
      </c>
      <c r="AC39" s="104">
        <f t="shared" si="24"/>
        <v>0</v>
      </c>
      <c r="AD39" s="81">
        <v>0</v>
      </c>
      <c r="AE39" s="81">
        <v>0</v>
      </c>
      <c r="AF39" s="81">
        <v>0</v>
      </c>
      <c r="AG39" s="231"/>
      <c r="AH39" s="81">
        <v>0</v>
      </c>
      <c r="AI39" s="81">
        <v>1</v>
      </c>
      <c r="AJ39" s="468">
        <v>0</v>
      </c>
      <c r="AK39" s="231"/>
      <c r="AL39" s="587"/>
      <c r="AM39" s="81">
        <v>0</v>
      </c>
      <c r="AN39" s="81"/>
      <c r="AO39" s="81"/>
      <c r="AP39" s="231" t="e">
        <f t="shared" si="25"/>
        <v>#DIV/0!</v>
      </c>
      <c r="AQ39" s="83">
        <f t="shared" si="18"/>
        <v>1</v>
      </c>
      <c r="AR39" s="554" t="s">
        <v>95</v>
      </c>
      <c r="AS39" s="101"/>
      <c r="AT39" s="161"/>
      <c r="AU39" s="60">
        <v>0</v>
      </c>
      <c r="AV39" s="60">
        <v>0</v>
      </c>
      <c r="AW39" s="108">
        <v>0</v>
      </c>
      <c r="AX39" s="232">
        <f t="shared" si="19"/>
        <v>0</v>
      </c>
      <c r="AY39" s="108">
        <v>0</v>
      </c>
      <c r="AZ39" s="60">
        <f>15645.9/2</f>
        <v>7822.95</v>
      </c>
      <c r="BA39" s="60">
        <v>0</v>
      </c>
      <c r="BB39" s="138">
        <f t="shared" si="21"/>
        <v>7822.95</v>
      </c>
      <c r="BC39" s="60">
        <v>0</v>
      </c>
      <c r="BD39" s="60">
        <v>7823.95</v>
      </c>
      <c r="BE39" s="60">
        <v>0</v>
      </c>
      <c r="BF39" s="60">
        <f t="shared" si="22"/>
        <v>7823.95</v>
      </c>
      <c r="BG39" s="60">
        <f>16576-15646.9</f>
        <v>929.1000000000004</v>
      </c>
      <c r="BH39" s="60">
        <v>0</v>
      </c>
      <c r="BI39" s="60">
        <v>0</v>
      </c>
      <c r="BJ39" s="60">
        <f t="shared" si="26"/>
        <v>929.1000000000004</v>
      </c>
      <c r="BK39" s="109">
        <f t="shared" si="27"/>
        <v>16576</v>
      </c>
      <c r="BL39" s="429"/>
      <c r="BM39" s="110">
        <v>0</v>
      </c>
      <c r="BN39" s="110">
        <v>0</v>
      </c>
      <c r="BO39" s="110">
        <v>0</v>
      </c>
      <c r="BP39" s="266"/>
      <c r="BQ39" s="71">
        <v>0</v>
      </c>
      <c r="BR39" s="71">
        <v>0</v>
      </c>
      <c r="BS39" s="71">
        <v>0</v>
      </c>
      <c r="BT39" s="266"/>
      <c r="BU39" s="71">
        <v>0</v>
      </c>
      <c r="BV39" s="71">
        <v>0</v>
      </c>
      <c r="BW39" s="71">
        <v>0</v>
      </c>
      <c r="BX39" s="266"/>
      <c r="BY39" s="71">
        <v>16576</v>
      </c>
      <c r="BZ39" s="71"/>
      <c r="CA39" s="71"/>
      <c r="CB39" s="581" t="e">
        <f>+(BY39+BZ39+#REF!)/(BG39+BH39+BI39)</f>
        <v>#REF!</v>
      </c>
      <c r="CC39" s="201">
        <f aca="true" t="shared" si="28" ref="CC39:CC53">+BM39+BN39+BO39+BQ39+BR39+BS39+BU39+BV39+BW39+BY39+BZ39+CA39</f>
        <v>16576</v>
      </c>
      <c r="CD39" s="582">
        <f t="shared" si="20"/>
        <v>1</v>
      </c>
      <c r="CE39" s="69" t="s">
        <v>95</v>
      </c>
      <c r="CF39" s="22" t="s">
        <v>246</v>
      </c>
    </row>
    <row r="40" spans="2:84" ht="86.25" customHeight="1" thickBot="1">
      <c r="B40" s="56" t="s">
        <v>204</v>
      </c>
      <c r="C40" s="119" t="s">
        <v>205</v>
      </c>
      <c r="D40" s="119" t="s">
        <v>202</v>
      </c>
      <c r="E40" s="1460"/>
      <c r="F40" s="546" t="s">
        <v>72</v>
      </c>
      <c r="G40" s="256" t="s">
        <v>83</v>
      </c>
      <c r="H40" s="546" t="s">
        <v>84</v>
      </c>
      <c r="I40" s="257">
        <v>0</v>
      </c>
      <c r="J40" s="257">
        <v>1</v>
      </c>
      <c r="K40" s="258" t="s">
        <v>88</v>
      </c>
      <c r="L40" s="259">
        <v>0</v>
      </c>
      <c r="M40" s="259">
        <v>0</v>
      </c>
      <c r="N40" s="259">
        <v>1</v>
      </c>
      <c r="O40" s="259">
        <v>0</v>
      </c>
      <c r="P40" s="259">
        <v>0</v>
      </c>
      <c r="Q40" s="259">
        <v>0</v>
      </c>
      <c r="R40" s="259">
        <v>0</v>
      </c>
      <c r="S40" s="259">
        <v>0</v>
      </c>
      <c r="T40" s="259">
        <v>0</v>
      </c>
      <c r="U40" s="259">
        <v>0</v>
      </c>
      <c r="V40" s="259">
        <v>0</v>
      </c>
      <c r="W40" s="259">
        <v>0</v>
      </c>
      <c r="X40" s="548">
        <f t="shared" si="23"/>
        <v>1</v>
      </c>
      <c r="Y40" s="533">
        <f t="shared" si="15"/>
        <v>133280</v>
      </c>
      <c r="Z40" s="81">
        <v>0</v>
      </c>
      <c r="AA40" s="81">
        <v>0</v>
      </c>
      <c r="AB40" s="81">
        <v>1</v>
      </c>
      <c r="AC40" s="104">
        <f t="shared" si="24"/>
        <v>1</v>
      </c>
      <c r="AD40" s="81">
        <v>0</v>
      </c>
      <c r="AE40" s="81">
        <v>0</v>
      </c>
      <c r="AF40" s="81">
        <v>0</v>
      </c>
      <c r="AG40" s="231"/>
      <c r="AH40" s="81">
        <v>0</v>
      </c>
      <c r="AI40" s="81">
        <v>0</v>
      </c>
      <c r="AJ40" s="468">
        <v>1</v>
      </c>
      <c r="AK40" s="231"/>
      <c r="AL40" s="587"/>
      <c r="AM40" s="81">
        <v>0</v>
      </c>
      <c r="AN40" s="81"/>
      <c r="AO40" s="81"/>
      <c r="AP40" s="231" t="e">
        <f t="shared" si="25"/>
        <v>#DIV/0!</v>
      </c>
      <c r="AQ40" s="83">
        <f t="shared" si="18"/>
        <v>2</v>
      </c>
      <c r="AR40" s="554" t="s">
        <v>93</v>
      </c>
      <c r="AS40" s="101"/>
      <c r="AT40" s="161"/>
      <c r="AU40" s="60">
        <v>0</v>
      </c>
      <c r="AV40" s="60">
        <v>0</v>
      </c>
      <c r="AW40" s="108">
        <v>0</v>
      </c>
      <c r="AX40" s="232">
        <f t="shared" si="19"/>
        <v>0</v>
      </c>
      <c r="AY40" s="108">
        <v>0</v>
      </c>
      <c r="AZ40" s="60">
        <f>(60785+2014+58800)/2</f>
        <v>60799.5</v>
      </c>
      <c r="BA40" s="60">
        <v>0</v>
      </c>
      <c r="BB40" s="138">
        <f t="shared" si="21"/>
        <v>60799.5</v>
      </c>
      <c r="BC40" s="60">
        <v>0</v>
      </c>
      <c r="BD40" s="60">
        <v>0</v>
      </c>
      <c r="BE40" s="60">
        <v>0</v>
      </c>
      <c r="BF40" s="60">
        <f t="shared" si="22"/>
        <v>0</v>
      </c>
      <c r="BG40" s="60">
        <v>0</v>
      </c>
      <c r="BH40" s="60">
        <f>(60785+2014+58800)/2</f>
        <v>60799.5</v>
      </c>
      <c r="BI40" s="60">
        <v>0</v>
      </c>
      <c r="BJ40" s="60">
        <v>72480.5</v>
      </c>
      <c r="BK40" s="109">
        <f t="shared" si="27"/>
        <v>133280</v>
      </c>
      <c r="BL40" s="429"/>
      <c r="BM40" s="110">
        <v>0</v>
      </c>
      <c r="BN40" s="110">
        <v>0</v>
      </c>
      <c r="BO40" s="110">
        <v>0</v>
      </c>
      <c r="BP40" s="266"/>
      <c r="BQ40" s="71">
        <v>0</v>
      </c>
      <c r="BR40" s="71">
        <v>0</v>
      </c>
      <c r="BS40" s="71">
        <v>0</v>
      </c>
      <c r="BT40" s="266"/>
      <c r="BU40" s="71">
        <v>0</v>
      </c>
      <c r="BV40" s="71">
        <v>0</v>
      </c>
      <c r="BW40" s="71">
        <v>0</v>
      </c>
      <c r="BX40" s="266"/>
      <c r="BY40" s="71"/>
      <c r="BZ40" s="71"/>
      <c r="CA40" s="71">
        <v>133280</v>
      </c>
      <c r="CB40" s="581">
        <f>+(BY40+BZ40+CA40)/(BG40+BH40+BI40)</f>
        <v>2.192123290487586</v>
      </c>
      <c r="CC40" s="201">
        <f t="shared" si="28"/>
        <v>133280</v>
      </c>
      <c r="CD40" s="582">
        <f t="shared" si="20"/>
        <v>1</v>
      </c>
      <c r="CE40" s="69" t="s">
        <v>93</v>
      </c>
      <c r="CF40" s="22" t="s">
        <v>248</v>
      </c>
    </row>
    <row r="41" spans="1:84" ht="86.25" customHeight="1" thickBot="1">
      <c r="A41" s="133"/>
      <c r="B41" s="56" t="s">
        <v>204</v>
      </c>
      <c r="C41" s="119" t="s">
        <v>205</v>
      </c>
      <c r="D41" s="119" t="s">
        <v>202</v>
      </c>
      <c r="E41" s="1460"/>
      <c r="F41" s="546" t="s">
        <v>73</v>
      </c>
      <c r="G41" s="256" t="s">
        <v>83</v>
      </c>
      <c r="H41" s="546" t="s">
        <v>84</v>
      </c>
      <c r="I41" s="257">
        <v>0</v>
      </c>
      <c r="J41" s="257">
        <v>1</v>
      </c>
      <c r="K41" s="258" t="s">
        <v>89</v>
      </c>
      <c r="L41" s="550"/>
      <c r="M41" s="259">
        <v>0</v>
      </c>
      <c r="N41" s="259">
        <v>0</v>
      </c>
      <c r="O41" s="259">
        <v>0</v>
      </c>
      <c r="P41" s="259">
        <v>0</v>
      </c>
      <c r="Q41" s="259">
        <v>0</v>
      </c>
      <c r="R41" s="259">
        <v>1</v>
      </c>
      <c r="S41" s="259">
        <v>0</v>
      </c>
      <c r="T41" s="259">
        <v>0</v>
      </c>
      <c r="U41" s="259">
        <v>0</v>
      </c>
      <c r="V41" s="259">
        <v>0</v>
      </c>
      <c r="W41" s="259">
        <v>0</v>
      </c>
      <c r="X41" s="548">
        <f t="shared" si="23"/>
        <v>1</v>
      </c>
      <c r="Y41" s="533">
        <f t="shared" si="15"/>
        <v>33347.47</v>
      </c>
      <c r="Z41" s="81">
        <v>0</v>
      </c>
      <c r="AA41" s="81">
        <v>0</v>
      </c>
      <c r="AB41" s="81">
        <v>0</v>
      </c>
      <c r="AC41" s="104"/>
      <c r="AD41" s="81">
        <v>0</v>
      </c>
      <c r="AE41" s="81">
        <v>0</v>
      </c>
      <c r="AF41" s="81">
        <v>0</v>
      </c>
      <c r="AG41" s="231"/>
      <c r="AH41" s="81">
        <v>0</v>
      </c>
      <c r="AI41" s="81">
        <v>0</v>
      </c>
      <c r="AJ41" s="468">
        <v>0</v>
      </c>
      <c r="AK41" s="231">
        <f t="shared" si="17"/>
        <v>0</v>
      </c>
      <c r="AL41" s="587"/>
      <c r="AM41" s="81"/>
      <c r="AN41" s="81"/>
      <c r="AO41" s="81"/>
      <c r="AP41" s="231" t="e">
        <f t="shared" si="25"/>
        <v>#DIV/0!</v>
      </c>
      <c r="AQ41" s="83">
        <f t="shared" si="18"/>
        <v>0</v>
      </c>
      <c r="AR41" s="554" t="s">
        <v>96</v>
      </c>
      <c r="AS41" s="101"/>
      <c r="AT41" s="161"/>
      <c r="AU41" s="60">
        <v>0</v>
      </c>
      <c r="AV41" s="60">
        <v>0</v>
      </c>
      <c r="AW41" s="60">
        <v>0</v>
      </c>
      <c r="AX41" s="232">
        <f t="shared" si="19"/>
        <v>0</v>
      </c>
      <c r="AY41" s="60">
        <v>0</v>
      </c>
      <c r="AZ41" s="60">
        <v>0</v>
      </c>
      <c r="BA41" s="60">
        <v>0</v>
      </c>
      <c r="BB41" s="138">
        <f t="shared" si="21"/>
        <v>0</v>
      </c>
      <c r="BC41" s="60">
        <v>0</v>
      </c>
      <c r="BD41" s="60">
        <v>0</v>
      </c>
      <c r="BE41" s="60">
        <v>0</v>
      </c>
      <c r="BF41" s="60">
        <f t="shared" si="22"/>
        <v>0</v>
      </c>
      <c r="BG41" s="60">
        <v>33347.47</v>
      </c>
      <c r="BH41" s="60">
        <v>0</v>
      </c>
      <c r="BI41" s="60">
        <v>0</v>
      </c>
      <c r="BJ41" s="60">
        <f t="shared" si="26"/>
        <v>33347.47</v>
      </c>
      <c r="BK41" s="610">
        <f t="shared" si="27"/>
        <v>33347.47</v>
      </c>
      <c r="BL41" s="429"/>
      <c r="BM41" s="110">
        <v>0</v>
      </c>
      <c r="BN41" s="110">
        <v>0</v>
      </c>
      <c r="BO41" s="110">
        <v>0</v>
      </c>
      <c r="BP41" s="266"/>
      <c r="BQ41" s="71">
        <v>0</v>
      </c>
      <c r="BR41" s="71">
        <v>0</v>
      </c>
      <c r="BS41" s="71">
        <v>0</v>
      </c>
      <c r="BT41" s="266"/>
      <c r="BU41" s="71">
        <v>0</v>
      </c>
      <c r="BV41" s="71">
        <v>0</v>
      </c>
      <c r="BW41" s="71">
        <v>0</v>
      </c>
      <c r="BX41" s="266"/>
      <c r="BY41" s="71">
        <v>0</v>
      </c>
      <c r="BZ41" s="86">
        <v>33347.47</v>
      </c>
      <c r="CA41" s="71"/>
      <c r="CB41" s="581">
        <f>+(BY41+BZ41+CA41)/(BG41+BH41+BI41)</f>
        <v>1</v>
      </c>
      <c r="CC41" s="201">
        <f t="shared" si="28"/>
        <v>33347.47</v>
      </c>
      <c r="CD41" s="582">
        <f t="shared" si="20"/>
        <v>1</v>
      </c>
      <c r="CE41" s="69" t="s">
        <v>96</v>
      </c>
      <c r="CF41" s="22" t="s">
        <v>247</v>
      </c>
    </row>
    <row r="42" spans="1:84" ht="86.25" customHeight="1" thickBot="1">
      <c r="A42" s="133"/>
      <c r="B42" s="56" t="s">
        <v>199</v>
      </c>
      <c r="C42" s="119" t="s">
        <v>200</v>
      </c>
      <c r="D42" s="119" t="s">
        <v>198</v>
      </c>
      <c r="E42" s="1460"/>
      <c r="F42" s="550" t="s">
        <v>74</v>
      </c>
      <c r="G42" s="256" t="s">
        <v>83</v>
      </c>
      <c r="H42" s="550" t="s">
        <v>85</v>
      </c>
      <c r="I42" s="260">
        <v>0</v>
      </c>
      <c r="J42" s="260">
        <v>1</v>
      </c>
      <c r="K42" s="261" t="s">
        <v>90</v>
      </c>
      <c r="L42" s="550">
        <v>0</v>
      </c>
      <c r="M42" s="550">
        <v>0</v>
      </c>
      <c r="N42" s="550">
        <v>0</v>
      </c>
      <c r="O42" s="550">
        <v>1</v>
      </c>
      <c r="P42" s="550">
        <v>0</v>
      </c>
      <c r="Q42" s="550">
        <v>0</v>
      </c>
      <c r="R42" s="550">
        <v>0</v>
      </c>
      <c r="S42" s="550">
        <v>0</v>
      </c>
      <c r="T42" s="550">
        <v>0</v>
      </c>
      <c r="U42" s="550">
        <v>0</v>
      </c>
      <c r="V42" s="550">
        <v>0</v>
      </c>
      <c r="W42" s="550">
        <v>0</v>
      </c>
      <c r="X42" s="548">
        <f t="shared" si="23"/>
        <v>1</v>
      </c>
      <c r="Y42" s="533">
        <f t="shared" si="15"/>
        <v>98000</v>
      </c>
      <c r="Z42" s="81">
        <v>0</v>
      </c>
      <c r="AA42" s="81">
        <v>0</v>
      </c>
      <c r="AB42" s="81">
        <v>0</v>
      </c>
      <c r="AC42" s="104"/>
      <c r="AD42" s="81">
        <v>0</v>
      </c>
      <c r="AE42" s="81">
        <v>0</v>
      </c>
      <c r="AF42" s="81">
        <v>0</v>
      </c>
      <c r="AG42" s="231"/>
      <c r="AH42" s="81">
        <v>0</v>
      </c>
      <c r="AI42" s="81">
        <v>0</v>
      </c>
      <c r="AJ42" s="468">
        <v>1</v>
      </c>
      <c r="AK42" s="231"/>
      <c r="AL42" s="587"/>
      <c r="AM42" s="81"/>
      <c r="AN42" s="81"/>
      <c r="AO42" s="81"/>
      <c r="AP42" s="231" t="e">
        <f t="shared" si="25"/>
        <v>#DIV/0!</v>
      </c>
      <c r="AQ42" s="83">
        <f t="shared" si="18"/>
        <v>1</v>
      </c>
      <c r="AR42" s="554" t="s">
        <v>97</v>
      </c>
      <c r="AS42" s="101"/>
      <c r="AT42" s="161"/>
      <c r="AU42" s="60">
        <v>0</v>
      </c>
      <c r="AV42" s="60">
        <v>0</v>
      </c>
      <c r="AW42" s="60">
        <v>0</v>
      </c>
      <c r="AX42" s="232">
        <f t="shared" si="19"/>
        <v>0</v>
      </c>
      <c r="AY42" s="60">
        <v>0</v>
      </c>
      <c r="AZ42" s="60">
        <v>0</v>
      </c>
      <c r="BA42" s="60">
        <v>28000</v>
      </c>
      <c r="BB42" s="138">
        <f t="shared" si="21"/>
        <v>28000</v>
      </c>
      <c r="BC42" s="60">
        <v>10000</v>
      </c>
      <c r="BD42" s="60">
        <v>40000</v>
      </c>
      <c r="BE42" s="60">
        <v>0</v>
      </c>
      <c r="BF42" s="60">
        <f t="shared" si="22"/>
        <v>50000</v>
      </c>
      <c r="BG42" s="60">
        <v>20000</v>
      </c>
      <c r="BH42" s="60">
        <v>0</v>
      </c>
      <c r="BI42" s="60">
        <v>0</v>
      </c>
      <c r="BJ42" s="60">
        <f t="shared" si="26"/>
        <v>20000</v>
      </c>
      <c r="BK42" s="109">
        <f t="shared" si="27"/>
        <v>98000</v>
      </c>
      <c r="BL42" s="429"/>
      <c r="BM42" s="110">
        <v>0</v>
      </c>
      <c r="BN42" s="110">
        <v>0</v>
      </c>
      <c r="BO42" s="110">
        <v>0</v>
      </c>
      <c r="BP42" s="266"/>
      <c r="BQ42" s="71">
        <v>0</v>
      </c>
      <c r="BR42" s="71">
        <v>0</v>
      </c>
      <c r="BS42" s="71">
        <v>25000</v>
      </c>
      <c r="BT42" s="266">
        <f>+(BQ42+BR42+BS42)/(AY42+AZ42+BA42)</f>
        <v>0.8928571428571429</v>
      </c>
      <c r="BU42" s="71">
        <v>9500</v>
      </c>
      <c r="BV42" s="71">
        <v>22000</v>
      </c>
      <c r="BW42" s="71">
        <v>5000</v>
      </c>
      <c r="BX42" s="266">
        <f>+(BU42+BV42+BW42)/(BC42+BD42+BE42)</f>
        <v>0.73</v>
      </c>
      <c r="BY42" s="71">
        <v>0</v>
      </c>
      <c r="BZ42" s="71">
        <v>0</v>
      </c>
      <c r="CA42" s="71">
        <v>0</v>
      </c>
      <c r="CB42" s="581">
        <f>+(BY42+BZ42+CA42)/(BG42+BH42+BI42)</f>
        <v>0</v>
      </c>
      <c r="CC42" s="201">
        <f t="shared" si="28"/>
        <v>61500</v>
      </c>
      <c r="CD42" s="582">
        <f t="shared" si="20"/>
        <v>0.6275510204081632</v>
      </c>
      <c r="CE42" s="69" t="s">
        <v>97</v>
      </c>
      <c r="CF42" s="22" t="s">
        <v>252</v>
      </c>
    </row>
    <row r="43" spans="1:84" ht="86.25" customHeight="1" thickBot="1">
      <c r="A43" s="133"/>
      <c r="B43" s="56" t="s">
        <v>204</v>
      </c>
      <c r="C43" s="119" t="s">
        <v>205</v>
      </c>
      <c r="D43" s="119" t="s">
        <v>202</v>
      </c>
      <c r="E43" s="1460"/>
      <c r="F43" s="550" t="s">
        <v>75</v>
      </c>
      <c r="G43" s="261" t="s">
        <v>86</v>
      </c>
      <c r="H43" s="546" t="s">
        <v>84</v>
      </c>
      <c r="I43" s="260">
        <v>0</v>
      </c>
      <c r="J43" s="260">
        <v>1</v>
      </c>
      <c r="K43" s="261" t="s">
        <v>91</v>
      </c>
      <c r="L43" s="550">
        <v>0</v>
      </c>
      <c r="M43" s="550">
        <v>0</v>
      </c>
      <c r="N43" s="550">
        <v>0</v>
      </c>
      <c r="O43" s="550">
        <v>1</v>
      </c>
      <c r="P43" s="550">
        <v>0</v>
      </c>
      <c r="Q43" s="550">
        <v>0</v>
      </c>
      <c r="R43" s="550">
        <v>0</v>
      </c>
      <c r="S43" s="550">
        <v>0</v>
      </c>
      <c r="T43" s="550">
        <v>0</v>
      </c>
      <c r="U43" s="550">
        <v>0</v>
      </c>
      <c r="V43" s="550">
        <v>0</v>
      </c>
      <c r="W43" s="550">
        <v>0</v>
      </c>
      <c r="X43" s="550">
        <f t="shared" si="23"/>
        <v>1</v>
      </c>
      <c r="Y43" s="533">
        <f t="shared" si="15"/>
        <v>27870.23</v>
      </c>
      <c r="Z43" s="81">
        <v>0</v>
      </c>
      <c r="AA43" s="81">
        <v>0</v>
      </c>
      <c r="AB43" s="81">
        <v>0</v>
      </c>
      <c r="AC43" s="104"/>
      <c r="AD43" s="81">
        <v>0</v>
      </c>
      <c r="AE43" s="81">
        <v>0</v>
      </c>
      <c r="AF43" s="81">
        <v>1</v>
      </c>
      <c r="AG43" s="231">
        <f t="shared" si="16"/>
        <v>1</v>
      </c>
      <c r="AH43" s="81">
        <v>0</v>
      </c>
      <c r="AI43" s="81">
        <v>0</v>
      </c>
      <c r="AJ43" s="468">
        <v>0</v>
      </c>
      <c r="AK43" s="231"/>
      <c r="AL43" s="587"/>
      <c r="AM43" s="81">
        <v>0</v>
      </c>
      <c r="AN43" s="81"/>
      <c r="AO43" s="81"/>
      <c r="AP43" s="231" t="e">
        <f t="shared" si="25"/>
        <v>#DIV/0!</v>
      </c>
      <c r="AQ43" s="83">
        <f t="shared" si="18"/>
        <v>1</v>
      </c>
      <c r="AR43" s="554" t="s">
        <v>98</v>
      </c>
      <c r="AS43" s="101" t="s">
        <v>92</v>
      </c>
      <c r="AT43" s="161"/>
      <c r="AU43" s="60">
        <v>0</v>
      </c>
      <c r="AV43" s="60">
        <v>0</v>
      </c>
      <c r="AW43" s="60">
        <v>0</v>
      </c>
      <c r="AX43" s="232">
        <f t="shared" si="19"/>
        <v>0</v>
      </c>
      <c r="AY43" s="60">
        <v>0</v>
      </c>
      <c r="AZ43" s="60">
        <v>0</v>
      </c>
      <c r="BA43" s="60">
        <v>0</v>
      </c>
      <c r="BB43" s="138">
        <f t="shared" si="21"/>
        <v>0</v>
      </c>
      <c r="BC43" s="60">
        <v>0</v>
      </c>
      <c r="BD43" s="60">
        <v>0</v>
      </c>
      <c r="BE43" s="60">
        <v>0</v>
      </c>
      <c r="BF43" s="60">
        <f t="shared" si="22"/>
        <v>0</v>
      </c>
      <c r="BG43" s="60">
        <f>37475-9604.77</f>
        <v>27870.23</v>
      </c>
      <c r="BH43" s="60">
        <v>0</v>
      </c>
      <c r="BI43" s="60">
        <v>0</v>
      </c>
      <c r="BJ43" s="60">
        <f>SUM(BG43:BI43)</f>
        <v>27870.23</v>
      </c>
      <c r="BK43" s="610">
        <f t="shared" si="27"/>
        <v>27870.23</v>
      </c>
      <c r="BL43" s="429"/>
      <c r="BM43" s="110">
        <v>0</v>
      </c>
      <c r="BN43" s="110">
        <v>0</v>
      </c>
      <c r="BO43" s="110">
        <v>0</v>
      </c>
      <c r="BP43" s="266"/>
      <c r="BQ43" s="71">
        <v>0</v>
      </c>
      <c r="BR43" s="71">
        <v>0</v>
      </c>
      <c r="BS43" s="71">
        <v>0</v>
      </c>
      <c r="BT43" s="266"/>
      <c r="BU43" s="71">
        <v>0</v>
      </c>
      <c r="BV43" s="71">
        <v>0</v>
      </c>
      <c r="BW43" s="71">
        <v>0</v>
      </c>
      <c r="BX43" s="266"/>
      <c r="BY43" s="71">
        <v>0</v>
      </c>
      <c r="BZ43" s="71">
        <v>0</v>
      </c>
      <c r="CA43" s="71">
        <v>0</v>
      </c>
      <c r="CB43" s="581" t="e">
        <f>+(BY43+BZ43+CA43)/(BG43+BH43+#REF!)</f>
        <v>#REF!</v>
      </c>
      <c r="CC43" s="201">
        <f t="shared" si="28"/>
        <v>0</v>
      </c>
      <c r="CD43" s="582">
        <f t="shared" si="20"/>
        <v>0</v>
      </c>
      <c r="CE43" s="69" t="s">
        <v>98</v>
      </c>
      <c r="CF43" s="22" t="s">
        <v>249</v>
      </c>
    </row>
    <row r="44" spans="2:84" s="112" customFormat="1" ht="102" customHeight="1" thickBot="1">
      <c r="B44" s="778" t="s">
        <v>199</v>
      </c>
      <c r="C44" s="779" t="s">
        <v>200</v>
      </c>
      <c r="D44" s="779" t="s">
        <v>198</v>
      </c>
      <c r="E44" s="672" t="s">
        <v>105</v>
      </c>
      <c r="F44" s="672" t="s">
        <v>106</v>
      </c>
      <c r="G44" s="672" t="s">
        <v>107</v>
      </c>
      <c r="H44" s="672" t="s">
        <v>108</v>
      </c>
      <c r="I44" s="98">
        <v>144161</v>
      </c>
      <c r="J44" s="98">
        <v>144000</v>
      </c>
      <c r="K44" s="261" t="s">
        <v>109</v>
      </c>
      <c r="L44" s="672">
        <v>12000</v>
      </c>
      <c r="M44" s="672">
        <v>12000</v>
      </c>
      <c r="N44" s="672">
        <v>12000</v>
      </c>
      <c r="O44" s="672">
        <v>12000</v>
      </c>
      <c r="P44" s="672">
        <v>12000</v>
      </c>
      <c r="Q44" s="672">
        <v>12000</v>
      </c>
      <c r="R44" s="672">
        <v>12000</v>
      </c>
      <c r="S44" s="672">
        <v>12000</v>
      </c>
      <c r="T44" s="672">
        <v>12000</v>
      </c>
      <c r="U44" s="672">
        <v>12000</v>
      </c>
      <c r="V44" s="672">
        <v>12000</v>
      </c>
      <c r="W44" s="672">
        <v>12000</v>
      </c>
      <c r="X44" s="672">
        <f t="shared" si="23"/>
        <v>144000</v>
      </c>
      <c r="Y44" s="780">
        <f t="shared" si="15"/>
        <v>3615386.67</v>
      </c>
      <c r="Z44" s="669">
        <v>12506</v>
      </c>
      <c r="AA44" s="669">
        <v>11120</v>
      </c>
      <c r="AB44" s="669">
        <v>12038</v>
      </c>
      <c r="AC44" s="781">
        <f t="shared" si="24"/>
        <v>0.9906666666666667</v>
      </c>
      <c r="AD44" s="669">
        <v>12501</v>
      </c>
      <c r="AE44" s="669">
        <v>12112</v>
      </c>
      <c r="AF44" s="669">
        <v>11622</v>
      </c>
      <c r="AG44" s="782">
        <f t="shared" si="16"/>
        <v>1.0065277777777777</v>
      </c>
      <c r="AH44" s="669">
        <v>12312</v>
      </c>
      <c r="AI44" s="669">
        <v>8580</v>
      </c>
      <c r="AJ44" s="670">
        <v>10700</v>
      </c>
      <c r="AK44" s="782">
        <f t="shared" si="17"/>
        <v>0.8775555555555555</v>
      </c>
      <c r="AL44" s="783"/>
      <c r="AM44" s="669">
        <v>11272</v>
      </c>
      <c r="AN44" s="669">
        <v>9926</v>
      </c>
      <c r="AO44" s="669">
        <v>10414</v>
      </c>
      <c r="AP44" s="782">
        <f t="shared" si="25"/>
        <v>0.8781111111111111</v>
      </c>
      <c r="AQ44" s="83">
        <f t="shared" si="18"/>
        <v>135103</v>
      </c>
      <c r="AR44" s="671" t="s">
        <v>250</v>
      </c>
      <c r="AS44" s="634" t="s">
        <v>347</v>
      </c>
      <c r="AT44" s="84"/>
      <c r="AU44" s="60">
        <v>280000</v>
      </c>
      <c r="AV44" s="60">
        <v>280000</v>
      </c>
      <c r="AW44" s="60">
        <v>280000</v>
      </c>
      <c r="AX44" s="232">
        <f t="shared" si="19"/>
        <v>840000</v>
      </c>
      <c r="AY44" s="60">
        <v>344800</v>
      </c>
      <c r="AZ44" s="60">
        <v>354800</v>
      </c>
      <c r="BA44" s="60">
        <v>364800</v>
      </c>
      <c r="BB44" s="138">
        <f t="shared" si="21"/>
        <v>1064400</v>
      </c>
      <c r="BC44" s="60">
        <v>320000</v>
      </c>
      <c r="BD44" s="60">
        <v>320000</v>
      </c>
      <c r="BE44" s="60">
        <v>320000</v>
      </c>
      <c r="BF44" s="60">
        <f t="shared" si="22"/>
        <v>960000</v>
      </c>
      <c r="BG44" s="60">
        <v>304800</v>
      </c>
      <c r="BH44" s="60">
        <v>304800</v>
      </c>
      <c r="BI44" s="60">
        <f>340000-198613.33</f>
        <v>141386.67</v>
      </c>
      <c r="BJ44" s="60">
        <f t="shared" si="26"/>
        <v>750986.67</v>
      </c>
      <c r="BK44" s="613">
        <f t="shared" si="27"/>
        <v>3615386.67</v>
      </c>
      <c r="BL44" s="60"/>
      <c r="BM44" s="85">
        <v>134979.34</v>
      </c>
      <c r="BN44" s="85">
        <v>276738</v>
      </c>
      <c r="BO44" s="85">
        <v>307248.53</v>
      </c>
      <c r="BP44" s="784">
        <f>+(BM44+BN44+BO44)/(AU44+AV44+AW44)</f>
        <v>0.85591175</v>
      </c>
      <c r="BQ44" s="86">
        <v>272481.7</v>
      </c>
      <c r="BR44" s="86">
        <v>385428.85</v>
      </c>
      <c r="BS44" s="86">
        <v>467576.32</v>
      </c>
      <c r="BT44" s="784">
        <f>+(BQ44+BR44+BS44)/(AY44+AZ44+BA44)</f>
        <v>1.0573908962795942</v>
      </c>
      <c r="BU44" s="86">
        <v>287274.78</v>
      </c>
      <c r="BV44" s="86">
        <v>213612.3</v>
      </c>
      <c r="BW44" s="86">
        <v>213296.27</v>
      </c>
      <c r="BX44" s="784">
        <f>+(BU44+BV44+BW44)/(BC44+BD44+BE44)</f>
        <v>0.7439409895833333</v>
      </c>
      <c r="BY44" s="86">
        <v>234676.21</v>
      </c>
      <c r="BZ44" s="86">
        <v>283512.9</v>
      </c>
      <c r="CA44" s="86">
        <v>378931.11</v>
      </c>
      <c r="CB44" s="785">
        <f aca="true" t="shared" si="29" ref="CB44:CB53">+(BY44+BZ44+CA44)/(BG44+BH44+BI44)</f>
        <v>1.1945887401703148</v>
      </c>
      <c r="CC44" s="786">
        <f>+BM44+BN44+BO44+BQ44+BR44+BS44+BU44+BV44+BW44+BY44+BZ44+CA44-311.03</f>
        <v>3455445.28</v>
      </c>
      <c r="CD44" s="787">
        <f t="shared" si="20"/>
        <v>0.9557609172686361</v>
      </c>
      <c r="CE44" s="634"/>
      <c r="CF44" s="788"/>
    </row>
    <row r="45" spans="1:84" s="6" customFormat="1" ht="61.5" customHeight="1" thickBot="1">
      <c r="A45" s="133"/>
      <c r="B45" s="56" t="s">
        <v>199</v>
      </c>
      <c r="C45" s="119" t="s">
        <v>200</v>
      </c>
      <c r="D45" s="119" t="s">
        <v>198</v>
      </c>
      <c r="E45" s="550" t="s">
        <v>110</v>
      </c>
      <c r="F45" s="550" t="s">
        <v>111</v>
      </c>
      <c r="G45" s="550" t="s">
        <v>112</v>
      </c>
      <c r="H45" s="550" t="s">
        <v>113</v>
      </c>
      <c r="I45" s="98">
        <v>97682</v>
      </c>
      <c r="J45" s="98">
        <f>+I45+9768</f>
        <v>107450</v>
      </c>
      <c r="K45" s="261" t="s">
        <v>114</v>
      </c>
      <c r="L45" s="99">
        <f>+X45/12</f>
        <v>8954.166666666666</v>
      </c>
      <c r="M45" s="99">
        <v>8954.166666666666</v>
      </c>
      <c r="N45" s="99">
        <v>8954.166666666666</v>
      </c>
      <c r="O45" s="99">
        <v>8954.166666666666</v>
      </c>
      <c r="P45" s="99">
        <v>8954.166666666666</v>
      </c>
      <c r="Q45" s="99">
        <v>8954.166666666666</v>
      </c>
      <c r="R45" s="99">
        <v>8954.166666666666</v>
      </c>
      <c r="S45" s="99">
        <v>8954.166666666666</v>
      </c>
      <c r="T45" s="99">
        <v>8954.166666666666</v>
      </c>
      <c r="U45" s="99">
        <v>8954.166666666666</v>
      </c>
      <c r="V45" s="99">
        <v>8954.166666666666</v>
      </c>
      <c r="W45" s="99">
        <v>8954.166666666666</v>
      </c>
      <c r="X45" s="550">
        <f>+J45</f>
        <v>107450</v>
      </c>
      <c r="Y45" s="533">
        <f t="shared" si="15"/>
        <v>4970000</v>
      </c>
      <c r="Z45" s="81">
        <v>7075</v>
      </c>
      <c r="AA45" s="81">
        <v>5961</v>
      </c>
      <c r="AB45" s="81">
        <v>6935</v>
      </c>
      <c r="AC45" s="104">
        <f t="shared" si="24"/>
        <v>0.7434527687296417</v>
      </c>
      <c r="AD45" s="81">
        <v>6928</v>
      </c>
      <c r="AE45" s="81">
        <v>8437</v>
      </c>
      <c r="AF45" s="81">
        <v>8855</v>
      </c>
      <c r="AG45" s="231">
        <f t="shared" si="16"/>
        <v>0.901628664495114</v>
      </c>
      <c r="AH45" s="81">
        <v>8273</v>
      </c>
      <c r="AI45" s="81">
        <v>8039</v>
      </c>
      <c r="AJ45" s="468">
        <v>8462</v>
      </c>
      <c r="AK45" s="231">
        <f t="shared" si="17"/>
        <v>0.9222522103303862</v>
      </c>
      <c r="AL45" s="587"/>
      <c r="AM45" s="81">
        <v>8931</v>
      </c>
      <c r="AN45" s="81">
        <v>9344</v>
      </c>
      <c r="AO45" s="81">
        <v>9105</v>
      </c>
      <c r="AP45" s="231">
        <f t="shared" si="25"/>
        <v>1.0192647743136343</v>
      </c>
      <c r="AQ45" s="83">
        <f t="shared" si="18"/>
        <v>96345</v>
      </c>
      <c r="AR45" s="554" t="s">
        <v>348</v>
      </c>
      <c r="AS45" s="554" t="s">
        <v>349</v>
      </c>
      <c r="AT45" s="161"/>
      <c r="AU45" s="60">
        <v>300000</v>
      </c>
      <c r="AV45" s="60">
        <v>470000</v>
      </c>
      <c r="AW45" s="60">
        <v>390000</v>
      </c>
      <c r="AX45" s="232">
        <f t="shared" si="19"/>
        <v>1160000</v>
      </c>
      <c r="AY45" s="60">
        <v>370000</v>
      </c>
      <c r="AZ45" s="60">
        <v>470000</v>
      </c>
      <c r="BA45" s="60">
        <v>490000</v>
      </c>
      <c r="BB45" s="138">
        <f t="shared" si="21"/>
        <v>1330000</v>
      </c>
      <c r="BC45" s="60">
        <v>470000</v>
      </c>
      <c r="BD45" s="60">
        <v>390000</v>
      </c>
      <c r="BE45" s="60">
        <v>420000</v>
      </c>
      <c r="BF45" s="60">
        <f t="shared" si="22"/>
        <v>1280000</v>
      </c>
      <c r="BG45" s="60">
        <v>400000</v>
      </c>
      <c r="BH45" s="60">
        <v>400000</v>
      </c>
      <c r="BI45" s="60">
        <v>400000</v>
      </c>
      <c r="BJ45" s="60">
        <f t="shared" si="26"/>
        <v>1200000</v>
      </c>
      <c r="BK45" s="613">
        <f t="shared" si="27"/>
        <v>4970000</v>
      </c>
      <c r="BL45" s="429"/>
      <c r="BM45" s="110">
        <v>165542.36</v>
      </c>
      <c r="BN45" s="110">
        <v>414421.49</v>
      </c>
      <c r="BO45" s="110">
        <v>368071.02</v>
      </c>
      <c r="BP45" s="266">
        <f>+(BM45+BN45+BO45)/(AU45+AV45+AW45)</f>
        <v>0.8172714396551725</v>
      </c>
      <c r="BQ45" s="71">
        <v>341219.71</v>
      </c>
      <c r="BR45" s="71">
        <v>431242.96</v>
      </c>
      <c r="BS45" s="71">
        <v>494833.65</v>
      </c>
      <c r="BT45" s="266">
        <f>+(BQ45+BR45+BS45)/(AY45+AZ45+BA45)</f>
        <v>0.9528543759398497</v>
      </c>
      <c r="BU45" s="71">
        <v>325976.79</v>
      </c>
      <c r="BV45" s="71">
        <v>377756.26</v>
      </c>
      <c r="BW45" s="71">
        <v>369232.68</v>
      </c>
      <c r="BX45" s="266">
        <f>+(BU45+BV45+BW45)/(BC45+BD45+BE45)</f>
        <v>0.8382544765625</v>
      </c>
      <c r="BY45" s="71">
        <v>396717.87</v>
      </c>
      <c r="BZ45" s="71">
        <v>462062.56</v>
      </c>
      <c r="CA45" s="71">
        <v>663450.42</v>
      </c>
      <c r="CB45" s="581">
        <f t="shared" si="29"/>
        <v>1.2685257083333334</v>
      </c>
      <c r="CC45" s="201">
        <f t="shared" si="28"/>
        <v>4810527.7700000005</v>
      </c>
      <c r="CD45" s="582">
        <f t="shared" si="20"/>
        <v>0.967913032193159</v>
      </c>
      <c r="CE45" s="69"/>
      <c r="CF45" s="22"/>
    </row>
    <row r="46" spans="1:84" s="6" customFormat="1" ht="47.25" customHeight="1" thickBot="1">
      <c r="A46" s="133"/>
      <c r="B46" s="57" t="s">
        <v>199</v>
      </c>
      <c r="C46" s="119" t="s">
        <v>200</v>
      </c>
      <c r="D46" s="119" t="s">
        <v>198</v>
      </c>
      <c r="E46" s="550" t="s">
        <v>115</v>
      </c>
      <c r="F46" s="550" t="s">
        <v>117</v>
      </c>
      <c r="G46" s="550" t="s">
        <v>118</v>
      </c>
      <c r="H46" s="550" t="s">
        <v>119</v>
      </c>
      <c r="I46" s="98">
        <v>750079</v>
      </c>
      <c r="J46" s="98">
        <v>750000</v>
      </c>
      <c r="K46" s="261" t="s">
        <v>123</v>
      </c>
      <c r="L46" s="99">
        <f>750000/12</f>
        <v>62500</v>
      </c>
      <c r="M46" s="99">
        <v>62500</v>
      </c>
      <c r="N46" s="99">
        <v>62500</v>
      </c>
      <c r="O46" s="99">
        <v>62500</v>
      </c>
      <c r="P46" s="99">
        <v>62500</v>
      </c>
      <c r="Q46" s="99">
        <v>62500</v>
      </c>
      <c r="R46" s="99">
        <v>62500</v>
      </c>
      <c r="S46" s="99">
        <v>62500</v>
      </c>
      <c r="T46" s="99">
        <v>62500</v>
      </c>
      <c r="U46" s="99">
        <v>62500</v>
      </c>
      <c r="V46" s="99">
        <v>62500</v>
      </c>
      <c r="W46" s="99">
        <v>62500</v>
      </c>
      <c r="X46" s="550">
        <f>+J46</f>
        <v>750000</v>
      </c>
      <c r="Y46" s="533">
        <f t="shared" si="15"/>
        <v>2600000</v>
      </c>
      <c r="Z46" s="81">
        <v>65441</v>
      </c>
      <c r="AA46" s="81">
        <v>58241</v>
      </c>
      <c r="AB46" s="81">
        <v>56245</v>
      </c>
      <c r="AC46" s="104">
        <f t="shared" si="24"/>
        <v>0.9596106666666666</v>
      </c>
      <c r="AD46" s="81">
        <v>65608</v>
      </c>
      <c r="AE46" s="81">
        <v>68116</v>
      </c>
      <c r="AF46" s="81">
        <v>63966</v>
      </c>
      <c r="AG46" s="231">
        <f t="shared" si="16"/>
        <v>1.0543466666666668</v>
      </c>
      <c r="AH46" s="81">
        <v>55995</v>
      </c>
      <c r="AI46" s="81">
        <v>64050</v>
      </c>
      <c r="AJ46" s="468">
        <v>70076</v>
      </c>
      <c r="AK46" s="231">
        <f t="shared" si="17"/>
        <v>1.0139786666666666</v>
      </c>
      <c r="AL46" s="587"/>
      <c r="AM46" s="81">
        <v>66246</v>
      </c>
      <c r="AN46" s="81">
        <v>66074</v>
      </c>
      <c r="AO46" s="81">
        <v>64026</v>
      </c>
      <c r="AP46" s="231">
        <f t="shared" si="25"/>
        <v>1.0471786666666667</v>
      </c>
      <c r="AQ46" s="83">
        <f>+AO46+AN46+AM46+AJ46+AI46+AH46+AF46+AE46+AD46+AB46+AA46+Z46</f>
        <v>764084</v>
      </c>
      <c r="AR46" s="554" t="s">
        <v>350</v>
      </c>
      <c r="AS46" s="101" t="s">
        <v>351</v>
      </c>
      <c r="AT46" s="161"/>
      <c r="AU46" s="60">
        <v>100000</v>
      </c>
      <c r="AV46" s="60">
        <v>100000</v>
      </c>
      <c r="AW46" s="60">
        <v>100000</v>
      </c>
      <c r="AX46" s="232">
        <f t="shared" si="19"/>
        <v>300000</v>
      </c>
      <c r="AY46" s="60">
        <v>500000</v>
      </c>
      <c r="AZ46" s="60">
        <v>200000</v>
      </c>
      <c r="BA46" s="60">
        <v>100000</v>
      </c>
      <c r="BB46" s="138">
        <f t="shared" si="21"/>
        <v>800000</v>
      </c>
      <c r="BC46" s="60">
        <v>100000</v>
      </c>
      <c r="BD46" s="60">
        <v>500000</v>
      </c>
      <c r="BE46" s="60">
        <v>150000</v>
      </c>
      <c r="BF46" s="60">
        <f t="shared" si="22"/>
        <v>750000</v>
      </c>
      <c r="BG46" s="60">
        <v>200000</v>
      </c>
      <c r="BH46" s="60">
        <v>300000</v>
      </c>
      <c r="BI46" s="60">
        <v>250000</v>
      </c>
      <c r="BJ46" s="60">
        <f t="shared" si="26"/>
        <v>750000</v>
      </c>
      <c r="BK46" s="613">
        <f t="shared" si="27"/>
        <v>2600000</v>
      </c>
      <c r="BL46" s="429">
        <f>+BK47/Y46</f>
        <v>0.2888019230769231</v>
      </c>
      <c r="BM46" s="110">
        <v>56075.78</v>
      </c>
      <c r="BN46" s="110">
        <v>69064.13</v>
      </c>
      <c r="BO46" s="110">
        <v>73592.38</v>
      </c>
      <c r="BP46" s="266">
        <f>+(BM46+BN46+BO46)/(AU46+AV46+AW46)</f>
        <v>0.6624409666666667</v>
      </c>
      <c r="BQ46" s="71">
        <v>455047.82</v>
      </c>
      <c r="BR46" s="71">
        <v>163006.85</v>
      </c>
      <c r="BS46" s="71">
        <v>134316.7</v>
      </c>
      <c r="BT46" s="266">
        <f>+(BQ46+BR46+BS46)/(AY46+AZ46+BA46)</f>
        <v>0.9404642125000001</v>
      </c>
      <c r="BU46" s="71">
        <v>70584.37</v>
      </c>
      <c r="BV46" s="71">
        <v>514390.1</v>
      </c>
      <c r="BW46" s="71">
        <v>82557.89</v>
      </c>
      <c r="BX46" s="266">
        <f>+(BU46+BV46+BW46)/(BC46+BD46+BE46)</f>
        <v>0.8900431466666666</v>
      </c>
      <c r="BY46" s="71">
        <v>80463.33</v>
      </c>
      <c r="BZ46" s="71">
        <v>426024.99</v>
      </c>
      <c r="CA46" s="71">
        <v>334300.97</v>
      </c>
      <c r="CB46" s="581">
        <f t="shared" si="29"/>
        <v>1.1210523866666666</v>
      </c>
      <c r="CC46" s="201">
        <f t="shared" si="28"/>
        <v>2459425.3099999996</v>
      </c>
      <c r="CD46" s="582">
        <f t="shared" si="20"/>
        <v>0.9459328115384614</v>
      </c>
      <c r="CE46" s="69"/>
      <c r="CF46" s="22"/>
    </row>
    <row r="47" spans="1:84" ht="72" customHeight="1" thickBot="1">
      <c r="A47" s="133"/>
      <c r="B47" s="57" t="s">
        <v>199</v>
      </c>
      <c r="C47" s="119" t="s">
        <v>200</v>
      </c>
      <c r="D47" s="119" t="s">
        <v>198</v>
      </c>
      <c r="E47" s="550" t="s">
        <v>116</v>
      </c>
      <c r="F47" s="550" t="s">
        <v>120</v>
      </c>
      <c r="G47" s="550" t="s">
        <v>121</v>
      </c>
      <c r="H47" s="550" t="s">
        <v>122</v>
      </c>
      <c r="I47" s="98">
        <v>36018</v>
      </c>
      <c r="J47" s="98">
        <v>36000</v>
      </c>
      <c r="K47" s="261" t="s">
        <v>124</v>
      </c>
      <c r="L47" s="99">
        <v>3000</v>
      </c>
      <c r="M47" s="99">
        <v>3000</v>
      </c>
      <c r="N47" s="99">
        <v>3000</v>
      </c>
      <c r="O47" s="99">
        <v>3000</v>
      </c>
      <c r="P47" s="99">
        <v>3000</v>
      </c>
      <c r="Q47" s="99">
        <v>3000</v>
      </c>
      <c r="R47" s="99">
        <v>3000</v>
      </c>
      <c r="S47" s="99">
        <v>3000</v>
      </c>
      <c r="T47" s="99">
        <v>3000</v>
      </c>
      <c r="U47" s="99">
        <v>3000</v>
      </c>
      <c r="V47" s="99">
        <v>3000</v>
      </c>
      <c r="W47" s="99">
        <v>3000</v>
      </c>
      <c r="X47" s="550">
        <f>+J47</f>
        <v>36000</v>
      </c>
      <c r="Y47" s="533">
        <f t="shared" si="15"/>
        <v>750885</v>
      </c>
      <c r="Z47" s="81">
        <v>2242</v>
      </c>
      <c r="AA47" s="81">
        <v>2568</v>
      </c>
      <c r="AB47" s="81">
        <v>3416</v>
      </c>
      <c r="AC47" s="104">
        <f t="shared" si="24"/>
        <v>0.914</v>
      </c>
      <c r="AD47" s="81">
        <v>3627</v>
      </c>
      <c r="AE47" s="81">
        <v>3388</v>
      </c>
      <c r="AF47" s="81">
        <v>3583</v>
      </c>
      <c r="AG47" s="231">
        <f t="shared" si="16"/>
        <v>1.1775555555555555</v>
      </c>
      <c r="AH47" s="81">
        <v>3206</v>
      </c>
      <c r="AI47" s="81">
        <v>3084</v>
      </c>
      <c r="AJ47" s="468">
        <v>3248</v>
      </c>
      <c r="AK47" s="231">
        <f t="shared" si="17"/>
        <v>1.0597777777777777</v>
      </c>
      <c r="AL47" s="587"/>
      <c r="AM47" s="81">
        <v>3442</v>
      </c>
      <c r="AN47" s="81">
        <v>3144</v>
      </c>
      <c r="AO47" s="81">
        <v>3341</v>
      </c>
      <c r="AP47" s="231">
        <f t="shared" si="25"/>
        <v>1.103</v>
      </c>
      <c r="AQ47" s="83">
        <f aca="true" t="shared" si="30" ref="AQ47:AQ53">+AO47+AN47+AM47+AJ47+AI47+AH47+AF47+AE47+AD47+AB47+AA47+Z47</f>
        <v>38289</v>
      </c>
      <c r="AR47" s="554" t="s">
        <v>353</v>
      </c>
      <c r="AS47" s="554" t="s">
        <v>352</v>
      </c>
      <c r="AT47" s="161"/>
      <c r="AU47" s="60">
        <v>32535</v>
      </c>
      <c r="AV47" s="60">
        <v>32535</v>
      </c>
      <c r="AW47" s="60">
        <v>52535</v>
      </c>
      <c r="AX47" s="232">
        <f t="shared" si="19"/>
        <v>117605</v>
      </c>
      <c r="AY47" s="60">
        <v>132535</v>
      </c>
      <c r="AZ47" s="60">
        <v>72535</v>
      </c>
      <c r="BA47" s="60">
        <v>62535</v>
      </c>
      <c r="BB47" s="138">
        <f t="shared" si="21"/>
        <v>267605</v>
      </c>
      <c r="BC47" s="60">
        <v>57535</v>
      </c>
      <c r="BD47" s="60">
        <v>52535</v>
      </c>
      <c r="BE47" s="60">
        <v>62535</v>
      </c>
      <c r="BF47" s="60">
        <f t="shared" si="22"/>
        <v>172605</v>
      </c>
      <c r="BG47" s="60">
        <v>62535</v>
      </c>
      <c r="BH47" s="60">
        <v>62535</v>
      </c>
      <c r="BI47" s="60">
        <v>70000</v>
      </c>
      <c r="BJ47" s="60">
        <f>SUM(BG47:BI47)-2000</f>
        <v>193070</v>
      </c>
      <c r="BK47" s="109">
        <f t="shared" si="27"/>
        <v>750885</v>
      </c>
      <c r="BL47" s="429"/>
      <c r="BM47" s="110">
        <v>36800.48</v>
      </c>
      <c r="BN47" s="110">
        <v>43927.1</v>
      </c>
      <c r="BO47" s="110">
        <v>46820.27</v>
      </c>
      <c r="BP47" s="266">
        <f>+(BM47+BN47+BO47)/(AU47+AV47+AW47)</f>
        <v>1.0845444496407466</v>
      </c>
      <c r="BQ47" s="71">
        <v>56052.36</v>
      </c>
      <c r="BR47" s="71">
        <v>68486.39</v>
      </c>
      <c r="BS47" s="71">
        <v>56584</v>
      </c>
      <c r="BT47" s="266">
        <f>+(BQ47+BR47+BS47)/(AY47+AZ47+BA47)</f>
        <v>0.6768287214364455</v>
      </c>
      <c r="BU47" s="71">
        <v>46035.1</v>
      </c>
      <c r="BV47" s="71">
        <v>70016.12</v>
      </c>
      <c r="BW47" s="71">
        <v>54755.62</v>
      </c>
      <c r="BX47" s="266">
        <f>+(BU47+BV47+BW47)/(BC47+BD47+BE47)</f>
        <v>0.9895822253121288</v>
      </c>
      <c r="BY47" s="71">
        <v>66398.83</v>
      </c>
      <c r="BZ47" s="71">
        <v>57051.07</v>
      </c>
      <c r="CA47" s="71">
        <v>103289.94</v>
      </c>
      <c r="CB47" s="581">
        <f t="shared" si="29"/>
        <v>1.1623511559952837</v>
      </c>
      <c r="CC47" s="201">
        <f t="shared" si="28"/>
        <v>706217.28</v>
      </c>
      <c r="CD47" s="582">
        <f t="shared" si="20"/>
        <v>0.9405132343834276</v>
      </c>
      <c r="CE47" s="69"/>
      <c r="CF47" s="22" t="s">
        <v>381</v>
      </c>
    </row>
    <row r="48" spans="1:84" ht="72" customHeight="1" thickBot="1">
      <c r="A48" s="133"/>
      <c r="B48" s="57" t="s">
        <v>199</v>
      </c>
      <c r="C48" s="119" t="s">
        <v>200</v>
      </c>
      <c r="D48" s="119" t="s">
        <v>198</v>
      </c>
      <c r="E48" s="550" t="s">
        <v>135</v>
      </c>
      <c r="F48" s="550" t="s">
        <v>136</v>
      </c>
      <c r="G48" s="550" t="s">
        <v>137</v>
      </c>
      <c r="H48" s="550" t="s">
        <v>138</v>
      </c>
      <c r="I48" s="98">
        <v>17170</v>
      </c>
      <c r="J48" s="98">
        <v>18000</v>
      </c>
      <c r="K48" s="261" t="s">
        <v>124</v>
      </c>
      <c r="L48" s="99">
        <v>1500</v>
      </c>
      <c r="M48" s="99">
        <v>1500</v>
      </c>
      <c r="N48" s="99">
        <v>1500</v>
      </c>
      <c r="O48" s="99">
        <v>1500</v>
      </c>
      <c r="P48" s="99">
        <v>1500</v>
      </c>
      <c r="Q48" s="99">
        <v>1500</v>
      </c>
      <c r="R48" s="99">
        <v>1500</v>
      </c>
      <c r="S48" s="99">
        <v>1500</v>
      </c>
      <c r="T48" s="99">
        <v>1500</v>
      </c>
      <c r="U48" s="99">
        <v>1500</v>
      </c>
      <c r="V48" s="99">
        <v>1500</v>
      </c>
      <c r="W48" s="99">
        <v>1500</v>
      </c>
      <c r="X48" s="99">
        <f>SUM(L48:W48)</f>
        <v>18000</v>
      </c>
      <c r="Y48" s="533">
        <f t="shared" si="15"/>
        <v>0</v>
      </c>
      <c r="Z48" s="81">
        <v>807</v>
      </c>
      <c r="AA48" s="81">
        <v>1618</v>
      </c>
      <c r="AB48" s="81">
        <v>1839</v>
      </c>
      <c r="AC48" s="104">
        <f t="shared" si="24"/>
        <v>0.9475555555555556</v>
      </c>
      <c r="AD48" s="81">
        <v>1640</v>
      </c>
      <c r="AE48" s="81">
        <v>1990</v>
      </c>
      <c r="AF48" s="81">
        <v>1981</v>
      </c>
      <c r="AG48" s="231">
        <f t="shared" si="16"/>
        <v>1.246888888888889</v>
      </c>
      <c r="AH48" s="81">
        <v>2004</v>
      </c>
      <c r="AI48" s="81">
        <v>1683</v>
      </c>
      <c r="AJ48" s="468">
        <v>1889</v>
      </c>
      <c r="AK48" s="231">
        <f t="shared" si="17"/>
        <v>1.239111111111111</v>
      </c>
      <c r="AL48" s="587"/>
      <c r="AM48" s="81">
        <v>2180</v>
      </c>
      <c r="AN48" s="81">
        <v>1989</v>
      </c>
      <c r="AO48" s="81">
        <v>1542</v>
      </c>
      <c r="AP48" s="231">
        <f t="shared" si="25"/>
        <v>1.269111111111111</v>
      </c>
      <c r="AQ48" s="83">
        <f t="shared" si="30"/>
        <v>21162</v>
      </c>
      <c r="AR48" s="554" t="s">
        <v>353</v>
      </c>
      <c r="AS48" s="554" t="s">
        <v>352</v>
      </c>
      <c r="AT48" s="161"/>
      <c r="AU48" s="60">
        <v>0</v>
      </c>
      <c r="AV48" s="60">
        <v>0</v>
      </c>
      <c r="AW48" s="60">
        <v>0</v>
      </c>
      <c r="AX48" s="232">
        <f t="shared" si="19"/>
        <v>0</v>
      </c>
      <c r="AY48" s="60">
        <v>0</v>
      </c>
      <c r="AZ48" s="60">
        <v>0</v>
      </c>
      <c r="BA48" s="60">
        <v>0</v>
      </c>
      <c r="BB48" s="138">
        <f t="shared" si="21"/>
        <v>0</v>
      </c>
      <c r="BC48" s="60">
        <v>0</v>
      </c>
      <c r="BD48" s="60">
        <v>0</v>
      </c>
      <c r="BE48" s="60">
        <v>0</v>
      </c>
      <c r="BF48" s="60">
        <f t="shared" si="22"/>
        <v>0</v>
      </c>
      <c r="BG48" s="60">
        <v>0</v>
      </c>
      <c r="BH48" s="60">
        <v>0</v>
      </c>
      <c r="BI48" s="60">
        <v>0</v>
      </c>
      <c r="BJ48" s="60">
        <f t="shared" si="26"/>
        <v>0</v>
      </c>
      <c r="BK48" s="109">
        <f t="shared" si="27"/>
        <v>0</v>
      </c>
      <c r="BL48" s="429"/>
      <c r="BM48" s="110">
        <v>0</v>
      </c>
      <c r="BN48" s="110">
        <v>0</v>
      </c>
      <c r="BO48" s="110">
        <v>0</v>
      </c>
      <c r="BP48" s="266"/>
      <c r="BQ48" s="71">
        <v>0</v>
      </c>
      <c r="BR48" s="71">
        <v>0</v>
      </c>
      <c r="BS48" s="71">
        <v>0</v>
      </c>
      <c r="BT48" s="266"/>
      <c r="BU48" s="71">
        <v>0</v>
      </c>
      <c r="BV48" s="71">
        <v>0</v>
      </c>
      <c r="BW48" s="71">
        <v>0</v>
      </c>
      <c r="BX48" s="266"/>
      <c r="BY48" s="71">
        <v>0</v>
      </c>
      <c r="BZ48" s="71">
        <v>0</v>
      </c>
      <c r="CA48" s="71">
        <v>0</v>
      </c>
      <c r="CB48" s="581" t="e">
        <f t="shared" si="29"/>
        <v>#DIV/0!</v>
      </c>
      <c r="CC48" s="201">
        <f t="shared" si="28"/>
        <v>0</v>
      </c>
      <c r="CD48" s="582" t="e">
        <f t="shared" si="20"/>
        <v>#DIV/0!</v>
      </c>
      <c r="CE48" s="69"/>
      <c r="CF48" s="22"/>
    </row>
    <row r="49" spans="1:84" ht="72" customHeight="1" thickBot="1">
      <c r="A49" s="133"/>
      <c r="B49" s="57" t="s">
        <v>199</v>
      </c>
      <c r="C49" s="119" t="s">
        <v>200</v>
      </c>
      <c r="D49" s="119" t="s">
        <v>198</v>
      </c>
      <c r="E49" s="550" t="s">
        <v>139</v>
      </c>
      <c r="F49" s="550" t="s">
        <v>140</v>
      </c>
      <c r="G49" s="550" t="s">
        <v>141</v>
      </c>
      <c r="H49" s="550" t="s">
        <v>142</v>
      </c>
      <c r="I49" s="98">
        <v>1153</v>
      </c>
      <c r="J49" s="98">
        <v>1200</v>
      </c>
      <c r="K49" s="261" t="s">
        <v>124</v>
      </c>
      <c r="L49" s="99">
        <v>100</v>
      </c>
      <c r="M49" s="99">
        <v>100</v>
      </c>
      <c r="N49" s="99">
        <v>100</v>
      </c>
      <c r="O49" s="99">
        <v>100</v>
      </c>
      <c r="P49" s="99">
        <v>100</v>
      </c>
      <c r="Q49" s="99">
        <v>100</v>
      </c>
      <c r="R49" s="99">
        <v>100</v>
      </c>
      <c r="S49" s="99">
        <v>100</v>
      </c>
      <c r="T49" s="99">
        <v>100</v>
      </c>
      <c r="U49" s="99">
        <v>100</v>
      </c>
      <c r="V49" s="99">
        <v>100</v>
      </c>
      <c r="W49" s="99">
        <v>100</v>
      </c>
      <c r="X49" s="99">
        <f>SUM(L49:W49)</f>
        <v>1200</v>
      </c>
      <c r="Y49" s="533">
        <f t="shared" si="15"/>
        <v>0</v>
      </c>
      <c r="Z49" s="81">
        <v>110</v>
      </c>
      <c r="AA49" s="81">
        <v>93</v>
      </c>
      <c r="AB49" s="81">
        <v>97</v>
      </c>
      <c r="AC49" s="104">
        <f t="shared" si="24"/>
        <v>1</v>
      </c>
      <c r="AD49" s="81">
        <v>179</v>
      </c>
      <c r="AE49" s="81">
        <v>113</v>
      </c>
      <c r="AF49" s="81">
        <v>185</v>
      </c>
      <c r="AG49" s="231">
        <f t="shared" si="16"/>
        <v>1.59</v>
      </c>
      <c r="AH49" s="81">
        <v>106</v>
      </c>
      <c r="AI49" s="81">
        <v>26</v>
      </c>
      <c r="AJ49" s="468">
        <v>152</v>
      </c>
      <c r="AK49" s="231">
        <f t="shared" si="17"/>
        <v>0.9466666666666667</v>
      </c>
      <c r="AL49" s="587"/>
      <c r="AM49" s="81">
        <v>170</v>
      </c>
      <c r="AN49" s="81">
        <v>130</v>
      </c>
      <c r="AO49" s="81">
        <v>47</v>
      </c>
      <c r="AP49" s="231">
        <f t="shared" si="25"/>
        <v>1.1566666666666667</v>
      </c>
      <c r="AQ49" s="83">
        <f t="shared" si="30"/>
        <v>1408</v>
      </c>
      <c r="AR49" s="554" t="s">
        <v>353</v>
      </c>
      <c r="AS49" s="101"/>
      <c r="AT49" s="161"/>
      <c r="AU49" s="60">
        <v>0</v>
      </c>
      <c r="AV49" s="60">
        <v>0</v>
      </c>
      <c r="AW49" s="60">
        <v>0</v>
      </c>
      <c r="AX49" s="232">
        <f t="shared" si="19"/>
        <v>0</v>
      </c>
      <c r="AY49" s="60">
        <v>0</v>
      </c>
      <c r="AZ49" s="60">
        <v>0</v>
      </c>
      <c r="BA49" s="60">
        <v>0</v>
      </c>
      <c r="BB49" s="138">
        <f t="shared" si="21"/>
        <v>0</v>
      </c>
      <c r="BC49" s="60">
        <v>0</v>
      </c>
      <c r="BD49" s="60">
        <v>0</v>
      </c>
      <c r="BE49" s="60">
        <v>0</v>
      </c>
      <c r="BF49" s="60">
        <f t="shared" si="22"/>
        <v>0</v>
      </c>
      <c r="BG49" s="60">
        <v>0</v>
      </c>
      <c r="BH49" s="60">
        <v>0</v>
      </c>
      <c r="BI49" s="60">
        <v>0</v>
      </c>
      <c r="BJ49" s="60">
        <f t="shared" si="26"/>
        <v>0</v>
      </c>
      <c r="BK49" s="109">
        <f t="shared" si="27"/>
        <v>0</v>
      </c>
      <c r="BL49" s="429"/>
      <c r="BM49" s="110">
        <v>0</v>
      </c>
      <c r="BN49" s="110">
        <v>0</v>
      </c>
      <c r="BO49" s="110">
        <v>0</v>
      </c>
      <c r="BP49" s="266"/>
      <c r="BQ49" s="71">
        <v>0</v>
      </c>
      <c r="BR49" s="71">
        <v>0</v>
      </c>
      <c r="BS49" s="71">
        <v>0</v>
      </c>
      <c r="BT49" s="266"/>
      <c r="BU49" s="71">
        <v>0</v>
      </c>
      <c r="BV49" s="71">
        <v>0</v>
      </c>
      <c r="BW49" s="71">
        <v>0</v>
      </c>
      <c r="BX49" s="266"/>
      <c r="BY49" s="71">
        <v>0</v>
      </c>
      <c r="BZ49" s="71">
        <v>0</v>
      </c>
      <c r="CA49" s="71">
        <v>0</v>
      </c>
      <c r="CB49" s="581" t="e">
        <f t="shared" si="29"/>
        <v>#DIV/0!</v>
      </c>
      <c r="CC49" s="201">
        <f t="shared" si="28"/>
        <v>0</v>
      </c>
      <c r="CD49" s="582" t="e">
        <f t="shared" si="20"/>
        <v>#DIV/0!</v>
      </c>
      <c r="CE49" s="69"/>
      <c r="CF49" s="22"/>
    </row>
    <row r="50" spans="1:84" ht="54" customHeight="1" thickBot="1">
      <c r="A50" s="133"/>
      <c r="B50" s="57" t="s">
        <v>199</v>
      </c>
      <c r="C50" s="119" t="s">
        <v>200</v>
      </c>
      <c r="D50" s="119" t="s">
        <v>198</v>
      </c>
      <c r="E50" s="550" t="s">
        <v>206</v>
      </c>
      <c r="F50" s="550" t="s">
        <v>144</v>
      </c>
      <c r="G50" s="550" t="s">
        <v>145</v>
      </c>
      <c r="H50" s="97" t="s">
        <v>146</v>
      </c>
      <c r="I50" s="98">
        <v>1884</v>
      </c>
      <c r="J50" s="98">
        <v>2000</v>
      </c>
      <c r="K50" s="97" t="s">
        <v>147</v>
      </c>
      <c r="L50" s="99">
        <v>167</v>
      </c>
      <c r="M50" s="99">
        <v>167</v>
      </c>
      <c r="N50" s="99">
        <v>167</v>
      </c>
      <c r="O50" s="99">
        <v>167</v>
      </c>
      <c r="P50" s="99">
        <v>167</v>
      </c>
      <c r="Q50" s="99">
        <v>167</v>
      </c>
      <c r="R50" s="99">
        <v>167</v>
      </c>
      <c r="S50" s="99">
        <v>167</v>
      </c>
      <c r="T50" s="99">
        <v>167</v>
      </c>
      <c r="U50" s="99">
        <v>167</v>
      </c>
      <c r="V50" s="99">
        <v>167</v>
      </c>
      <c r="W50" s="99">
        <v>163</v>
      </c>
      <c r="X50" s="99">
        <f>SUM(L50:W50)</f>
        <v>2000</v>
      </c>
      <c r="Y50" s="533">
        <f t="shared" si="15"/>
        <v>0</v>
      </c>
      <c r="Z50" s="81">
        <v>243</v>
      </c>
      <c r="AA50" s="81">
        <v>35</v>
      </c>
      <c r="AB50" s="81">
        <v>285</v>
      </c>
      <c r="AC50" s="104">
        <f>(Z50+AA50+AB50)/(+L50+M50+N50)</f>
        <v>1.12375249500998</v>
      </c>
      <c r="AD50" s="81">
        <v>285</v>
      </c>
      <c r="AE50" s="81">
        <v>152</v>
      </c>
      <c r="AF50" s="81">
        <v>201</v>
      </c>
      <c r="AG50" s="231">
        <f>(+AD50+AE50+AF50)/(+O50+P50+Q50)</f>
        <v>1.2734530938123751</v>
      </c>
      <c r="AH50" s="81">
        <v>131</v>
      </c>
      <c r="AI50" s="81">
        <v>93</v>
      </c>
      <c r="AJ50" s="468">
        <v>147</v>
      </c>
      <c r="AK50" s="231">
        <f>+(AH50+AI50+AJ50)/(+R50+S50+T50)</f>
        <v>0.7405189620758483</v>
      </c>
      <c r="AL50" s="587"/>
      <c r="AM50" s="81">
        <v>113</v>
      </c>
      <c r="AN50" s="81">
        <v>175</v>
      </c>
      <c r="AO50" s="81">
        <v>119</v>
      </c>
      <c r="AP50" s="231">
        <f>(AM50+AN50+AO50)/(+U50+V50+W50)</f>
        <v>0.8189134808853119</v>
      </c>
      <c r="AQ50" s="83">
        <f t="shared" si="30"/>
        <v>1979</v>
      </c>
      <c r="AR50" s="554" t="s">
        <v>354</v>
      </c>
      <c r="AS50" s="102"/>
      <c r="AT50" s="161"/>
      <c r="AU50" s="60">
        <v>63000</v>
      </c>
      <c r="AV50" s="60">
        <v>70000</v>
      </c>
      <c r="AW50" s="60">
        <v>63000</v>
      </c>
      <c r="AX50" s="232">
        <f t="shared" si="19"/>
        <v>196000</v>
      </c>
      <c r="AY50" s="60">
        <v>75000</v>
      </c>
      <c r="AZ50" s="60">
        <v>63000</v>
      </c>
      <c r="BA50" s="60">
        <v>75000</v>
      </c>
      <c r="BB50" s="138">
        <f t="shared" si="21"/>
        <v>213000</v>
      </c>
      <c r="BC50" s="60">
        <v>63000</v>
      </c>
      <c r="BD50" s="60">
        <v>63000</v>
      </c>
      <c r="BE50" s="609">
        <v>63000</v>
      </c>
      <c r="BF50" s="609">
        <f t="shared" si="22"/>
        <v>189000</v>
      </c>
      <c r="BG50" s="60">
        <v>63000</v>
      </c>
      <c r="BH50" s="60">
        <v>63000</v>
      </c>
      <c r="BI50" s="60">
        <v>-724000</v>
      </c>
      <c r="BJ50" s="60">
        <f t="shared" si="26"/>
        <v>-598000</v>
      </c>
      <c r="BK50" s="613">
        <f t="shared" si="27"/>
        <v>0</v>
      </c>
      <c r="BL50" s="429"/>
      <c r="BM50" s="110">
        <v>0</v>
      </c>
      <c r="BN50" s="110">
        <v>0</v>
      </c>
      <c r="BO50" s="110">
        <v>0</v>
      </c>
      <c r="BP50" s="266">
        <f>+(BM50+BN50+BO50)/(AU50+AV50+AW50)</f>
        <v>0</v>
      </c>
      <c r="BQ50" s="71">
        <v>0</v>
      </c>
      <c r="BR50" s="71">
        <v>0</v>
      </c>
      <c r="BS50" s="71">
        <v>0</v>
      </c>
      <c r="BT50" s="266">
        <f>+(BQ50+BR50+BS50)/(AY50+AZ50+BA50)</f>
        <v>0</v>
      </c>
      <c r="BU50" s="71">
        <v>0</v>
      </c>
      <c r="BV50" s="71">
        <v>0</v>
      </c>
      <c r="BW50" s="71">
        <v>0</v>
      </c>
      <c r="BX50" s="266">
        <f>+(BU50+BV50+BW50)/(BC50+BD50+BE50)</f>
        <v>0</v>
      </c>
      <c r="BY50" s="71">
        <v>0</v>
      </c>
      <c r="BZ50" s="71">
        <v>0</v>
      </c>
      <c r="CA50" s="71">
        <v>0</v>
      </c>
      <c r="CB50" s="581">
        <f t="shared" si="29"/>
        <v>0</v>
      </c>
      <c r="CC50" s="201">
        <f t="shared" si="28"/>
        <v>0</v>
      </c>
      <c r="CD50" s="582" t="e">
        <f t="shared" si="20"/>
        <v>#DIV/0!</v>
      </c>
      <c r="CE50" s="69" t="s">
        <v>148</v>
      </c>
      <c r="CF50" s="36" t="s">
        <v>380</v>
      </c>
    </row>
    <row r="51" spans="1:84" s="136" customFormat="1" ht="54" customHeight="1" thickBot="1">
      <c r="A51" s="133"/>
      <c r="B51" s="57" t="s">
        <v>199</v>
      </c>
      <c r="C51" s="119" t="s">
        <v>200</v>
      </c>
      <c r="D51" s="119" t="s">
        <v>198</v>
      </c>
      <c r="E51" s="1458" t="s">
        <v>125</v>
      </c>
      <c r="F51" s="550" t="s">
        <v>126</v>
      </c>
      <c r="G51" s="550" t="s">
        <v>127</v>
      </c>
      <c r="H51" s="550" t="s">
        <v>128</v>
      </c>
      <c r="I51" s="550">
        <v>4099</v>
      </c>
      <c r="J51" s="550">
        <v>7728</v>
      </c>
      <c r="K51" s="550" t="s">
        <v>124</v>
      </c>
      <c r="L51" s="99">
        <v>644</v>
      </c>
      <c r="M51" s="99">
        <v>644</v>
      </c>
      <c r="N51" s="99">
        <v>644</v>
      </c>
      <c r="O51" s="99">
        <v>644</v>
      </c>
      <c r="P51" s="99">
        <v>644</v>
      </c>
      <c r="Q51" s="99">
        <v>644</v>
      </c>
      <c r="R51" s="99">
        <v>644</v>
      </c>
      <c r="S51" s="99">
        <v>644</v>
      </c>
      <c r="T51" s="99">
        <v>644</v>
      </c>
      <c r="U51" s="99">
        <v>644</v>
      </c>
      <c r="V51" s="99">
        <v>644</v>
      </c>
      <c r="W51" s="99">
        <v>644</v>
      </c>
      <c r="X51" s="99">
        <f>SUM(L51:W51)</f>
        <v>7728</v>
      </c>
      <c r="Y51" s="533">
        <f t="shared" si="15"/>
        <v>677000</v>
      </c>
      <c r="Z51" s="535">
        <v>613</v>
      </c>
      <c r="AA51" s="535">
        <v>538</v>
      </c>
      <c r="AB51" s="535">
        <v>627</v>
      </c>
      <c r="AC51" s="538">
        <f t="shared" si="24"/>
        <v>0.9202898550724637</v>
      </c>
      <c r="AD51" s="535">
        <v>474</v>
      </c>
      <c r="AE51" s="535">
        <v>659</v>
      </c>
      <c r="AF51" s="535">
        <v>702</v>
      </c>
      <c r="AG51" s="262">
        <f t="shared" si="16"/>
        <v>0.9497929606625258</v>
      </c>
      <c r="AH51" s="535">
        <v>770</v>
      </c>
      <c r="AI51" s="535">
        <v>706</v>
      </c>
      <c r="AJ51" s="537">
        <v>707</v>
      </c>
      <c r="AK51" s="262">
        <f t="shared" si="17"/>
        <v>1.1299171842650104</v>
      </c>
      <c r="AL51" s="593"/>
      <c r="AM51" s="535">
        <v>774</v>
      </c>
      <c r="AN51" s="535">
        <v>654</v>
      </c>
      <c r="AO51" s="535">
        <v>831</v>
      </c>
      <c r="AP51" s="262">
        <f t="shared" si="25"/>
        <v>1.1692546583850931</v>
      </c>
      <c r="AQ51" s="83">
        <f t="shared" si="30"/>
        <v>8055</v>
      </c>
      <c r="AR51" s="1461" t="s">
        <v>131</v>
      </c>
      <c r="AS51" s="555" t="s">
        <v>355</v>
      </c>
      <c r="AT51" s="263"/>
      <c r="AU51" s="264">
        <v>35000</v>
      </c>
      <c r="AV51" s="264">
        <v>35000</v>
      </c>
      <c r="AW51" s="264">
        <v>35000</v>
      </c>
      <c r="AX51" s="232">
        <f t="shared" si="19"/>
        <v>105000</v>
      </c>
      <c r="AY51" s="265">
        <v>150000</v>
      </c>
      <c r="AZ51" s="265">
        <v>75000</v>
      </c>
      <c r="BA51" s="265">
        <v>58000</v>
      </c>
      <c r="BB51" s="138">
        <f t="shared" si="21"/>
        <v>283000</v>
      </c>
      <c r="BC51" s="265">
        <v>41000</v>
      </c>
      <c r="BD51" s="265">
        <v>41000</v>
      </c>
      <c r="BE51" s="265">
        <v>42000</v>
      </c>
      <c r="BF51" s="60">
        <f t="shared" si="22"/>
        <v>124000</v>
      </c>
      <c r="BG51" s="138">
        <v>30000</v>
      </c>
      <c r="BH51" s="138">
        <f>30000+30000</f>
        <v>60000</v>
      </c>
      <c r="BI51" s="138">
        <f>45000+30000</f>
        <v>75000</v>
      </c>
      <c r="BJ51" s="60">
        <f t="shared" si="26"/>
        <v>165000</v>
      </c>
      <c r="BK51" s="109">
        <f t="shared" si="27"/>
        <v>677000</v>
      </c>
      <c r="BL51" s="430"/>
      <c r="BM51" s="264">
        <v>19288.05</v>
      </c>
      <c r="BN51" s="264">
        <v>44444.35</v>
      </c>
      <c r="BO51" s="264">
        <v>32439.69</v>
      </c>
      <c r="BP51" s="266">
        <f>+(BM51+BN51+BO51)/(AU51+AV51+AW51)</f>
        <v>0.9159246666666666</v>
      </c>
      <c r="BQ51" s="265">
        <v>148527.06</v>
      </c>
      <c r="BR51" s="265">
        <v>70247.61</v>
      </c>
      <c r="BS51" s="265">
        <v>57545.53</v>
      </c>
      <c r="BT51" s="266">
        <f>+(BQ51+BR51+BS51)/(AY51+AZ51+BA51)</f>
        <v>0.9763964664310952</v>
      </c>
      <c r="BU51" s="265">
        <v>27260.44</v>
      </c>
      <c r="BV51" s="265">
        <v>43221.08</v>
      </c>
      <c r="BW51" s="265">
        <v>51056.72</v>
      </c>
      <c r="BX51" s="266">
        <f>+(BU51+BV51+BW51)/(BC51+BD51+BE51)</f>
        <v>0.9801470967741935</v>
      </c>
      <c r="BY51" s="265">
        <v>41241.07</v>
      </c>
      <c r="BZ51" s="265">
        <v>46183.98</v>
      </c>
      <c r="CA51" s="265">
        <v>75613.53</v>
      </c>
      <c r="CB51" s="581">
        <f t="shared" si="29"/>
        <v>0.9881126060606061</v>
      </c>
      <c r="CC51" s="201">
        <f t="shared" si="28"/>
        <v>657069.11</v>
      </c>
      <c r="CD51" s="582">
        <f>+CC51/BK51</f>
        <v>0.9705599852289513</v>
      </c>
      <c r="CE51" s="140"/>
      <c r="CF51" s="1462" t="s">
        <v>314</v>
      </c>
    </row>
    <row r="52" spans="1:84" s="136" customFormat="1" ht="54" customHeight="1" thickBot="1">
      <c r="A52" s="133"/>
      <c r="B52" s="57" t="s">
        <v>199</v>
      </c>
      <c r="C52" s="119" t="s">
        <v>200</v>
      </c>
      <c r="D52" s="119" t="s">
        <v>198</v>
      </c>
      <c r="E52" s="1458"/>
      <c r="F52" s="550"/>
      <c r="G52" s="550"/>
      <c r="H52" s="551" t="s">
        <v>130</v>
      </c>
      <c r="I52" s="550">
        <v>4</v>
      </c>
      <c r="J52" s="550">
        <v>4</v>
      </c>
      <c r="K52" s="550" t="s">
        <v>129</v>
      </c>
      <c r="L52" s="99"/>
      <c r="M52" s="99"/>
      <c r="N52" s="99">
        <v>1</v>
      </c>
      <c r="O52" s="99"/>
      <c r="P52" s="99"/>
      <c r="Q52" s="99">
        <v>1</v>
      </c>
      <c r="R52" s="99"/>
      <c r="S52" s="99"/>
      <c r="T52" s="99">
        <v>1</v>
      </c>
      <c r="U52" s="99"/>
      <c r="V52" s="99"/>
      <c r="W52" s="99">
        <v>1</v>
      </c>
      <c r="X52" s="550">
        <f>+J52</f>
        <v>4</v>
      </c>
      <c r="Y52" s="533">
        <f t="shared" si="15"/>
        <v>0</v>
      </c>
      <c r="Z52" s="535">
        <v>0</v>
      </c>
      <c r="AA52" s="535">
        <v>0</v>
      </c>
      <c r="AB52" s="535">
        <v>1</v>
      </c>
      <c r="AC52" s="538">
        <f t="shared" si="24"/>
        <v>1</v>
      </c>
      <c r="AD52" s="535"/>
      <c r="AE52" s="535"/>
      <c r="AF52" s="535">
        <v>1</v>
      </c>
      <c r="AG52" s="262">
        <f t="shared" si="16"/>
        <v>1</v>
      </c>
      <c r="AH52" s="535"/>
      <c r="AI52" s="535"/>
      <c r="AJ52" s="537">
        <v>1</v>
      </c>
      <c r="AK52" s="262">
        <f t="shared" si="17"/>
        <v>1</v>
      </c>
      <c r="AL52" s="593"/>
      <c r="AM52" s="535"/>
      <c r="AN52" s="535"/>
      <c r="AO52" s="553">
        <v>1</v>
      </c>
      <c r="AP52" s="262">
        <f t="shared" si="25"/>
        <v>1</v>
      </c>
      <c r="AQ52" s="83">
        <f t="shared" si="30"/>
        <v>4</v>
      </c>
      <c r="AR52" s="1461"/>
      <c r="AS52" s="549"/>
      <c r="AT52" s="263"/>
      <c r="AU52" s="138">
        <v>0</v>
      </c>
      <c r="AV52" s="138">
        <v>0</v>
      </c>
      <c r="AW52" s="138">
        <v>0</v>
      </c>
      <c r="AX52" s="232">
        <f t="shared" si="19"/>
        <v>0</v>
      </c>
      <c r="AY52" s="138">
        <v>0</v>
      </c>
      <c r="AZ52" s="138">
        <v>0</v>
      </c>
      <c r="BA52" s="138">
        <v>0</v>
      </c>
      <c r="BB52" s="138">
        <f t="shared" si="21"/>
        <v>0</v>
      </c>
      <c r="BC52" s="138">
        <v>0</v>
      </c>
      <c r="BD52" s="138">
        <v>0</v>
      </c>
      <c r="BE52" s="138">
        <v>0</v>
      </c>
      <c r="BF52" s="60">
        <f t="shared" si="22"/>
        <v>0</v>
      </c>
      <c r="BG52" s="138">
        <v>0</v>
      </c>
      <c r="BH52" s="138">
        <v>0</v>
      </c>
      <c r="BI52" s="138">
        <v>0</v>
      </c>
      <c r="BJ52" s="60">
        <f t="shared" si="26"/>
        <v>0</v>
      </c>
      <c r="BK52" s="109">
        <f t="shared" si="27"/>
        <v>0</v>
      </c>
      <c r="BL52" s="430"/>
      <c r="BM52" s="264">
        <v>0</v>
      </c>
      <c r="BN52" s="264">
        <v>0</v>
      </c>
      <c r="BO52" s="264">
        <v>0</v>
      </c>
      <c r="BP52" s="266"/>
      <c r="BQ52" s="265">
        <v>0</v>
      </c>
      <c r="BR52" s="265">
        <v>0</v>
      </c>
      <c r="BS52" s="265">
        <v>0</v>
      </c>
      <c r="BT52" s="266"/>
      <c r="BU52" s="265">
        <v>0</v>
      </c>
      <c r="BV52" s="265">
        <v>0</v>
      </c>
      <c r="BW52" s="265">
        <v>0</v>
      </c>
      <c r="BX52" s="266" t="e">
        <f>+(BU52+BV52+BW52)/(BC52+BD52+BE52)</f>
        <v>#DIV/0!</v>
      </c>
      <c r="BY52" s="265">
        <v>0</v>
      </c>
      <c r="BZ52" s="265">
        <v>0</v>
      </c>
      <c r="CA52" s="265">
        <v>0</v>
      </c>
      <c r="CB52" s="581" t="e">
        <f t="shared" si="29"/>
        <v>#DIV/0!</v>
      </c>
      <c r="CC52" s="201">
        <f t="shared" si="28"/>
        <v>0</v>
      </c>
      <c r="CD52" s="614">
        <v>0</v>
      </c>
      <c r="CE52" s="140" t="s">
        <v>131</v>
      </c>
      <c r="CF52" s="1462"/>
    </row>
    <row r="53" spans="1:84" s="136" customFormat="1" ht="54" customHeight="1" thickBot="1">
      <c r="A53" s="142"/>
      <c r="B53" s="204" t="s">
        <v>199</v>
      </c>
      <c r="C53" s="37" t="s">
        <v>200</v>
      </c>
      <c r="D53" s="37" t="s">
        <v>207</v>
      </c>
      <c r="E53" s="550" t="s">
        <v>143</v>
      </c>
      <c r="F53" s="550" t="s">
        <v>132</v>
      </c>
      <c r="G53" s="551" t="s">
        <v>378</v>
      </c>
      <c r="H53" s="550" t="s">
        <v>133</v>
      </c>
      <c r="I53" s="550">
        <v>9605</v>
      </c>
      <c r="J53" s="550">
        <v>9800</v>
      </c>
      <c r="K53" s="550" t="s">
        <v>134</v>
      </c>
      <c r="L53" s="550">
        <v>790</v>
      </c>
      <c r="M53" s="550">
        <v>790</v>
      </c>
      <c r="N53" s="550">
        <v>800</v>
      </c>
      <c r="O53" s="550">
        <v>790</v>
      </c>
      <c r="P53" s="550">
        <v>790</v>
      </c>
      <c r="Q53" s="550">
        <v>820</v>
      </c>
      <c r="R53" s="550">
        <v>790</v>
      </c>
      <c r="S53" s="550">
        <v>810</v>
      </c>
      <c r="T53" s="550">
        <v>790</v>
      </c>
      <c r="U53" s="550">
        <v>800</v>
      </c>
      <c r="V53" s="550">
        <v>790</v>
      </c>
      <c r="W53" s="550">
        <v>790</v>
      </c>
      <c r="X53" s="550">
        <f>SUM(L53:W53)</f>
        <v>9550</v>
      </c>
      <c r="Y53" s="533">
        <f t="shared" si="15"/>
        <v>5310000</v>
      </c>
      <c r="Z53" s="535">
        <v>817</v>
      </c>
      <c r="AA53" s="633">
        <v>817</v>
      </c>
      <c r="AB53" s="633">
        <v>817</v>
      </c>
      <c r="AC53" s="538">
        <f t="shared" si="24"/>
        <v>1.0298319327731091</v>
      </c>
      <c r="AD53" s="633">
        <v>817</v>
      </c>
      <c r="AE53" s="633">
        <v>817</v>
      </c>
      <c r="AF53" s="633">
        <v>817</v>
      </c>
      <c r="AG53" s="262">
        <f t="shared" si="16"/>
        <v>1.02125</v>
      </c>
      <c r="AH53" s="633">
        <v>817</v>
      </c>
      <c r="AI53" s="633">
        <v>817</v>
      </c>
      <c r="AJ53" s="633">
        <v>817</v>
      </c>
      <c r="AK53" s="262">
        <f t="shared" si="17"/>
        <v>1.0255230125523012</v>
      </c>
      <c r="AL53" s="593"/>
      <c r="AM53" s="535">
        <v>883</v>
      </c>
      <c r="AN53" s="535">
        <v>803</v>
      </c>
      <c r="AO53" s="535">
        <v>850</v>
      </c>
      <c r="AP53" s="262">
        <f t="shared" si="25"/>
        <v>1.065546218487395</v>
      </c>
      <c r="AQ53" s="83">
        <f t="shared" si="30"/>
        <v>9889</v>
      </c>
      <c r="AR53" s="554" t="s">
        <v>148</v>
      </c>
      <c r="AS53" s="555" t="s">
        <v>355</v>
      </c>
      <c r="AT53" s="263"/>
      <c r="AU53" s="138">
        <v>300000</v>
      </c>
      <c r="AV53" s="138">
        <v>470000</v>
      </c>
      <c r="AW53" s="138">
        <v>470000</v>
      </c>
      <c r="AX53" s="232">
        <f t="shared" si="19"/>
        <v>1240000</v>
      </c>
      <c r="AY53" s="138">
        <v>470000</v>
      </c>
      <c r="AZ53" s="138">
        <v>500000</v>
      </c>
      <c r="BA53" s="138">
        <v>480000</v>
      </c>
      <c r="BB53" s="138">
        <f>SUM(AY53:BA53)</f>
        <v>1450000</v>
      </c>
      <c r="BC53" s="138">
        <v>470000</v>
      </c>
      <c r="BD53" s="138">
        <v>450000</v>
      </c>
      <c r="BE53" s="138">
        <v>400000</v>
      </c>
      <c r="BF53" s="60">
        <f t="shared" si="22"/>
        <v>1320000</v>
      </c>
      <c r="BG53" s="138">
        <v>450000</v>
      </c>
      <c r="BH53" s="138">
        <v>350000</v>
      </c>
      <c r="BI53" s="138">
        <v>500000</v>
      </c>
      <c r="BJ53" s="60">
        <f t="shared" si="26"/>
        <v>1300000</v>
      </c>
      <c r="BK53" s="109">
        <f t="shared" si="27"/>
        <v>5310000</v>
      </c>
      <c r="BL53" s="430"/>
      <c r="BM53" s="264">
        <v>293062.87</v>
      </c>
      <c r="BN53" s="264">
        <v>490465.97</v>
      </c>
      <c r="BO53" s="264">
        <v>454131.23</v>
      </c>
      <c r="BP53" s="266">
        <f>+(BM53+BN53+BO53)/(AU53+AV53+AW53)</f>
        <v>0.9981129596774192</v>
      </c>
      <c r="BQ53" s="265">
        <v>466094.14</v>
      </c>
      <c r="BR53" s="265">
        <v>496443.09</v>
      </c>
      <c r="BS53" s="265">
        <v>469639.94</v>
      </c>
      <c r="BT53" s="266">
        <f>+(BQ53+BR53+BS53)/(AY53+AZ53+BA53)</f>
        <v>0.9877083931034483</v>
      </c>
      <c r="BU53" s="265">
        <v>415691.15</v>
      </c>
      <c r="BV53" s="265">
        <f>381627.85-1528</f>
        <v>380099.85</v>
      </c>
      <c r="BW53" s="265">
        <f>368293.73+773.16</f>
        <v>369066.88999999996</v>
      </c>
      <c r="BX53" s="266">
        <f>+(BU53+BV53+BW53)/(BC53+BD53+BE53)</f>
        <v>0.8824680984848484</v>
      </c>
      <c r="BY53" s="265">
        <v>371302.48</v>
      </c>
      <c r="BZ53" s="265">
        <f>413424.05+10</f>
        <v>413434.05</v>
      </c>
      <c r="CA53" s="265">
        <v>655725.34</v>
      </c>
      <c r="CB53" s="581">
        <f t="shared" si="29"/>
        <v>1.1080475923076925</v>
      </c>
      <c r="CC53" s="201">
        <f t="shared" si="28"/>
        <v>5275156.999999999</v>
      </c>
      <c r="CD53" s="582">
        <f t="shared" si="20"/>
        <v>0.9934382297551787</v>
      </c>
      <c r="CE53" s="140" t="s">
        <v>148</v>
      </c>
      <c r="CF53" s="140"/>
    </row>
    <row r="54" spans="2:84" s="136" customFormat="1" ht="54" customHeight="1" thickBot="1">
      <c r="B54" s="204"/>
      <c r="C54" s="37"/>
      <c r="D54" s="37"/>
      <c r="E54" s="33"/>
      <c r="F54" s="33"/>
      <c r="G54" s="33"/>
      <c r="H54" s="33"/>
      <c r="I54" s="268"/>
      <c r="J54" s="268"/>
      <c r="K54" s="33"/>
      <c r="L54" s="268">
        <v>817</v>
      </c>
      <c r="M54" s="268">
        <v>817</v>
      </c>
      <c r="N54" s="268">
        <v>817</v>
      </c>
      <c r="O54" s="268">
        <v>817</v>
      </c>
      <c r="P54" s="268">
        <v>817</v>
      </c>
      <c r="Q54" s="268">
        <v>817</v>
      </c>
      <c r="R54" s="268">
        <v>817</v>
      </c>
      <c r="S54" s="268">
        <v>817</v>
      </c>
      <c r="T54" s="268">
        <v>817</v>
      </c>
      <c r="U54" s="268">
        <v>817</v>
      </c>
      <c r="V54" s="268">
        <v>817</v>
      </c>
      <c r="W54" s="268">
        <v>817</v>
      </c>
      <c r="X54" s="268">
        <v>817</v>
      </c>
      <c r="Y54" s="154">
        <f>SUM(Y35:Y53)</f>
        <v>18916122.42</v>
      </c>
      <c r="Z54" s="393"/>
      <c r="AA54" s="268"/>
      <c r="AB54" s="268"/>
      <c r="AC54" s="269"/>
      <c r="AD54" s="268"/>
      <c r="AE54" s="268"/>
      <c r="AF54" s="268"/>
      <c r="AG54" s="268"/>
      <c r="AH54" s="268"/>
      <c r="AI54" s="268"/>
      <c r="AJ54" s="469"/>
      <c r="AK54" s="268"/>
      <c r="AL54" s="265"/>
      <c r="AM54" s="268"/>
      <c r="AN54" s="268"/>
      <c r="AO54" s="268"/>
      <c r="AP54" s="268"/>
      <c r="AQ54" s="268"/>
      <c r="AR54" s="567"/>
      <c r="AS54" s="268"/>
      <c r="AT54" s="270"/>
      <c r="AU54" s="271">
        <f>SUM(AU35:AU53)</f>
        <v>1110535</v>
      </c>
      <c r="AV54" s="271">
        <f aca="true" t="shared" si="31" ref="AV54:BJ54">SUM(AV35:AV53)</f>
        <v>1462535</v>
      </c>
      <c r="AW54" s="271">
        <f t="shared" si="31"/>
        <v>1390535</v>
      </c>
      <c r="AX54" s="271">
        <f t="shared" si="31"/>
        <v>3963605</v>
      </c>
      <c r="AY54" s="271">
        <f>SUM(AY35:AY53)</f>
        <v>2214335</v>
      </c>
      <c r="AZ54" s="271">
        <f>SUM(AZ35:AZ53)</f>
        <v>2040435.18</v>
      </c>
      <c r="BA54" s="271">
        <f t="shared" si="31"/>
        <v>1673335</v>
      </c>
      <c r="BB54" s="271">
        <f t="shared" si="31"/>
        <v>5928105.18</v>
      </c>
      <c r="BC54" s="271">
        <f t="shared" si="31"/>
        <v>1531535</v>
      </c>
      <c r="BD54" s="271">
        <f t="shared" si="31"/>
        <v>2087076.15</v>
      </c>
      <c r="BE54" s="271">
        <f t="shared" si="31"/>
        <v>1487535</v>
      </c>
      <c r="BF54" s="271">
        <f t="shared" si="31"/>
        <v>5106146.15</v>
      </c>
      <c r="BG54" s="271">
        <f t="shared" si="31"/>
        <v>1673128.17</v>
      </c>
      <c r="BH54" s="271">
        <f t="shared" si="31"/>
        <v>1601134.5</v>
      </c>
      <c r="BI54" s="271">
        <f t="shared" si="31"/>
        <v>634322.42</v>
      </c>
      <c r="BJ54" s="271">
        <f t="shared" si="31"/>
        <v>3918266.09</v>
      </c>
      <c r="BK54" s="271">
        <f>SUM(BK35:BK53)</f>
        <v>18916122.42</v>
      </c>
      <c r="BL54" s="431"/>
      <c r="BM54" s="272">
        <f aca="true" t="shared" si="32" ref="BM54:CC54">SUM(BM35:BM53)</f>
        <v>705748.8799999999</v>
      </c>
      <c r="BN54" s="272">
        <f t="shared" si="32"/>
        <v>1339061.04</v>
      </c>
      <c r="BO54" s="272">
        <f t="shared" si="32"/>
        <v>1284192.56</v>
      </c>
      <c r="BP54" s="389">
        <f>+(BM54+BN54+BO54)/(AU54+AV54+AW54)</f>
        <v>0.8398925927280847</v>
      </c>
      <c r="BQ54" s="271">
        <f t="shared" si="32"/>
        <v>1739422.79</v>
      </c>
      <c r="BR54" s="271">
        <f t="shared" si="32"/>
        <v>1635081.9300000002</v>
      </c>
      <c r="BS54" s="271">
        <f t="shared" si="32"/>
        <v>1858752.5499999998</v>
      </c>
      <c r="BT54" s="273"/>
      <c r="BU54" s="271">
        <f t="shared" si="32"/>
        <v>1183196.79</v>
      </c>
      <c r="BV54" s="271">
        <f t="shared" si="32"/>
        <v>1741210.52</v>
      </c>
      <c r="BW54" s="271">
        <f t="shared" si="32"/>
        <v>1151833.4</v>
      </c>
      <c r="BX54" s="273" t="e">
        <f t="shared" si="32"/>
        <v>#DIV/0!</v>
      </c>
      <c r="BY54" s="271">
        <f t="shared" si="32"/>
        <v>1268021.5499999998</v>
      </c>
      <c r="BZ54" s="271">
        <f t="shared" si="32"/>
        <v>1738678.8800000001</v>
      </c>
      <c r="CA54" s="271">
        <f t="shared" si="32"/>
        <v>2468692.58</v>
      </c>
      <c r="CB54" s="274" t="e">
        <f t="shared" si="32"/>
        <v>#REF!</v>
      </c>
      <c r="CC54" s="275">
        <f t="shared" si="32"/>
        <v>18113582.439999998</v>
      </c>
      <c r="CD54" s="582">
        <f t="shared" si="20"/>
        <v>0.9575737583960929</v>
      </c>
      <c r="CE54" s="276"/>
      <c r="CF54" s="276"/>
    </row>
    <row r="55" spans="2:84" s="136" customFormat="1" ht="21" customHeight="1">
      <c r="B55" s="204"/>
      <c r="C55" s="37"/>
      <c r="D55" s="37"/>
      <c r="E55" s="33"/>
      <c r="F55" s="33"/>
      <c r="G55" s="33"/>
      <c r="H55" s="33"/>
      <c r="I55" s="268"/>
      <c r="J55" s="268"/>
      <c r="K55" s="33"/>
      <c r="L55" s="268"/>
      <c r="M55" s="268"/>
      <c r="N55" s="268"/>
      <c r="O55" s="268"/>
      <c r="P55" s="268"/>
      <c r="Q55" s="268"/>
      <c r="R55" s="268"/>
      <c r="S55" s="268"/>
      <c r="T55" s="268"/>
      <c r="U55" s="268"/>
      <c r="V55" s="268"/>
      <c r="W55" s="268"/>
      <c r="X55" s="268"/>
      <c r="Y55" s="394"/>
      <c r="Z55" s="268"/>
      <c r="AA55" s="268"/>
      <c r="AB55" s="268"/>
      <c r="AC55" s="269"/>
      <c r="AD55" s="268"/>
      <c r="AE55" s="268"/>
      <c r="AF55" s="268"/>
      <c r="AG55" s="268"/>
      <c r="AH55" s="268"/>
      <c r="AI55" s="268"/>
      <c r="AJ55" s="469"/>
      <c r="AK55" s="268"/>
      <c r="AL55" s="265"/>
      <c r="AM55" s="268"/>
      <c r="AN55" s="268"/>
      <c r="AO55" s="268"/>
      <c r="AP55" s="268"/>
      <c r="AQ55" s="268"/>
      <c r="AR55" s="567"/>
      <c r="AS55" s="268"/>
      <c r="AT55" s="270"/>
      <c r="AU55" s="271"/>
      <c r="AV55" s="271"/>
      <c r="AW55" s="271"/>
      <c r="AX55" s="271"/>
      <c r="AY55" s="271"/>
      <c r="AZ55" s="271"/>
      <c r="BA55" s="271"/>
      <c r="BB55" s="271"/>
      <c r="BC55" s="271"/>
      <c r="BD55" s="271"/>
      <c r="BE55" s="271"/>
      <c r="BF55" s="271"/>
      <c r="BG55" s="271"/>
      <c r="BH55" s="271"/>
      <c r="BI55" s="271"/>
      <c r="BJ55" s="271"/>
      <c r="BK55" s="271"/>
      <c r="BL55" s="431"/>
      <c r="BM55" s="272"/>
      <c r="BN55" s="272"/>
      <c r="BO55" s="272"/>
      <c r="BP55" s="273"/>
      <c r="BQ55" s="271"/>
      <c r="BR55" s="271"/>
      <c r="BS55" s="271"/>
      <c r="BT55" s="273"/>
      <c r="BU55" s="271"/>
      <c r="BV55" s="271"/>
      <c r="BW55" s="271"/>
      <c r="BX55" s="273"/>
      <c r="BY55" s="271"/>
      <c r="BZ55" s="271"/>
      <c r="CA55" s="271"/>
      <c r="CB55" s="274"/>
      <c r="CC55" s="275"/>
      <c r="CD55" s="582"/>
      <c r="CE55" s="276"/>
      <c r="CF55" s="276"/>
    </row>
    <row r="56" spans="2:84" s="136" customFormat="1" ht="54" customHeight="1" thickBot="1">
      <c r="B56" s="164" t="s">
        <v>4</v>
      </c>
      <c r="C56" s="277"/>
      <c r="D56" s="277"/>
      <c r="E56" s="278"/>
      <c r="F56" s="278"/>
      <c r="G56" s="278"/>
      <c r="H56" s="278"/>
      <c r="I56" s="278"/>
      <c r="J56" s="278"/>
      <c r="K56" s="278"/>
      <c r="L56" s="279"/>
      <c r="M56" s="279"/>
      <c r="N56" s="279" t="s">
        <v>5</v>
      </c>
      <c r="O56" s="279"/>
      <c r="P56" s="279"/>
      <c r="Q56" s="279"/>
      <c r="R56" s="279"/>
      <c r="S56" s="279"/>
      <c r="T56" s="279"/>
      <c r="U56" s="279"/>
      <c r="V56" s="279"/>
      <c r="W56" s="279"/>
      <c r="X56" s="279"/>
      <c r="Y56" s="280"/>
      <c r="Z56" s="280"/>
      <c r="AA56" s="280"/>
      <c r="AB56" s="280"/>
      <c r="AC56" s="280"/>
      <c r="AD56" s="280"/>
      <c r="AE56" s="280"/>
      <c r="AF56" s="280"/>
      <c r="AG56" s="280"/>
      <c r="AH56" s="280"/>
      <c r="AI56" s="280"/>
      <c r="AJ56" s="470"/>
      <c r="AK56" s="280"/>
      <c r="AL56" s="594"/>
      <c r="AM56" s="280"/>
      <c r="AN56" s="280"/>
      <c r="AO56" s="280"/>
      <c r="AP56" s="280"/>
      <c r="AQ56" s="281"/>
      <c r="AR56" s="568"/>
      <c r="AS56" s="281"/>
      <c r="AT56" s="263"/>
      <c r="AU56" s="282"/>
      <c r="AV56" s="282"/>
      <c r="AW56" s="282"/>
      <c r="AX56" s="282"/>
      <c r="AY56" s="282"/>
      <c r="AZ56" s="282"/>
      <c r="BA56" s="282"/>
      <c r="BB56" s="282"/>
      <c r="BC56" s="282"/>
      <c r="BD56" s="282"/>
      <c r="BE56" s="282"/>
      <c r="BF56" s="282"/>
      <c r="BG56" s="282"/>
      <c r="BH56" s="282"/>
      <c r="BI56" s="282"/>
      <c r="BJ56" s="282"/>
      <c r="BK56" s="282"/>
      <c r="BL56" s="432"/>
      <c r="BM56" s="281"/>
      <c r="BN56" s="281"/>
      <c r="BO56" s="281"/>
      <c r="BP56" s="281"/>
      <c r="BQ56" s="281"/>
      <c r="BR56" s="281"/>
      <c r="BS56" s="281"/>
      <c r="BT56" s="281"/>
      <c r="BU56" s="281"/>
      <c r="BV56" s="281"/>
      <c r="BW56" s="281"/>
      <c r="BX56" s="281"/>
      <c r="BY56" s="281"/>
      <c r="BZ56" s="281"/>
      <c r="CA56" s="281"/>
      <c r="CB56" s="281"/>
      <c r="CC56" s="283"/>
      <c r="CD56" s="281"/>
      <c r="CE56" s="281"/>
      <c r="CF56" s="281"/>
    </row>
    <row r="57" spans="2:84" s="136" customFormat="1" ht="54" customHeight="1" thickBot="1">
      <c r="B57" s="1436" t="s">
        <v>7</v>
      </c>
      <c r="C57" s="1456" t="s">
        <v>8</v>
      </c>
      <c r="D57" s="1456" t="s">
        <v>9</v>
      </c>
      <c r="E57" s="544" t="s">
        <v>10</v>
      </c>
      <c r="F57" s="1424" t="s">
        <v>11</v>
      </c>
      <c r="G57" s="1424" t="s">
        <v>12</v>
      </c>
      <c r="H57" s="1424" t="s">
        <v>13</v>
      </c>
      <c r="I57" s="1417" t="s">
        <v>14</v>
      </c>
      <c r="J57" s="1417" t="s">
        <v>15</v>
      </c>
      <c r="K57" s="1424" t="s">
        <v>16</v>
      </c>
      <c r="L57" s="544"/>
      <c r="M57" s="544"/>
      <c r="N57" s="544"/>
      <c r="O57" s="544"/>
      <c r="P57" s="544"/>
      <c r="Q57" s="1418" t="s">
        <v>280</v>
      </c>
      <c r="R57" s="1418"/>
      <c r="S57" s="1418"/>
      <c r="T57" s="1418"/>
      <c r="U57" s="1418"/>
      <c r="V57" s="544"/>
      <c r="W57" s="544"/>
      <c r="X57" s="1418" t="s">
        <v>289</v>
      </c>
      <c r="Y57" s="1455" t="s">
        <v>17</v>
      </c>
      <c r="Z57" s="407"/>
      <c r="AA57" s="408"/>
      <c r="AB57" s="408"/>
      <c r="AC57" s="409"/>
      <c r="AD57" s="408"/>
      <c r="AE57" s="408"/>
      <c r="AF57" s="410" t="s">
        <v>18</v>
      </c>
      <c r="AG57" s="410"/>
      <c r="AH57" s="410"/>
      <c r="AI57" s="410"/>
      <c r="AJ57" s="460"/>
      <c r="AK57" s="408"/>
      <c r="AL57" s="589"/>
      <c r="AM57" s="408"/>
      <c r="AN57" s="408"/>
      <c r="AO57" s="408"/>
      <c r="AP57" s="408"/>
      <c r="AQ57" s="547" t="s">
        <v>282</v>
      </c>
      <c r="AR57" s="560" t="s">
        <v>19</v>
      </c>
      <c r="AS57" s="547" t="s">
        <v>20</v>
      </c>
      <c r="AT57" s="284"/>
      <c r="AU57" s="545"/>
      <c r="AV57" s="545"/>
      <c r="AW57" s="545"/>
      <c r="AX57" s="552"/>
      <c r="AY57" s="545"/>
      <c r="AZ57" s="1413" t="s">
        <v>283</v>
      </c>
      <c r="BA57" s="1413"/>
      <c r="BB57" s="1413"/>
      <c r="BC57" s="1413"/>
      <c r="BD57" s="1413"/>
      <c r="BE57" s="545"/>
      <c r="BF57" s="552"/>
      <c r="BG57" s="545"/>
      <c r="BH57" s="545"/>
      <c r="BI57" s="545"/>
      <c r="BJ57" s="552"/>
      <c r="BK57" s="1413" t="s">
        <v>284</v>
      </c>
      <c r="BL57" s="1414" t="s">
        <v>285</v>
      </c>
      <c r="BM57" s="178"/>
      <c r="BN57" s="178"/>
      <c r="BO57" s="178"/>
      <c r="BP57" s="178"/>
      <c r="BQ57" s="178"/>
      <c r="BR57" s="178"/>
      <c r="BS57" s="178" t="s">
        <v>323</v>
      </c>
      <c r="BT57" s="178"/>
      <c r="BU57" s="178"/>
      <c r="BV57" s="178"/>
      <c r="BW57" s="178"/>
      <c r="BX57" s="178"/>
      <c r="BY57" s="178"/>
      <c r="BZ57" s="178"/>
      <c r="CA57" s="178"/>
      <c r="CB57" s="178"/>
      <c r="CC57" s="1429" t="s">
        <v>287</v>
      </c>
      <c r="CD57" s="1431" t="s">
        <v>253</v>
      </c>
      <c r="CE57" s="547" t="s">
        <v>19</v>
      </c>
      <c r="CF57" s="547" t="s">
        <v>20</v>
      </c>
    </row>
    <row r="58" spans="2:84" s="136" customFormat="1" ht="54" customHeight="1">
      <c r="B58" s="1436"/>
      <c r="C58" s="1456"/>
      <c r="D58" s="1456"/>
      <c r="E58" s="544"/>
      <c r="F58" s="1424"/>
      <c r="G58" s="1424"/>
      <c r="H58" s="1424"/>
      <c r="I58" s="1417"/>
      <c r="J58" s="1417"/>
      <c r="K58" s="1424"/>
      <c r="L58" s="285" t="s">
        <v>212</v>
      </c>
      <c r="M58" s="285" t="s">
        <v>213</v>
      </c>
      <c r="N58" s="285" t="s">
        <v>214</v>
      </c>
      <c r="O58" s="285" t="s">
        <v>215</v>
      </c>
      <c r="P58" s="285" t="s">
        <v>216</v>
      </c>
      <c r="Q58" s="285" t="s">
        <v>217</v>
      </c>
      <c r="R58" s="285" t="s">
        <v>218</v>
      </c>
      <c r="S58" s="285" t="s">
        <v>219</v>
      </c>
      <c r="T58" s="285" t="s">
        <v>220</v>
      </c>
      <c r="U58" s="285" t="s">
        <v>221</v>
      </c>
      <c r="V58" s="285" t="s">
        <v>222</v>
      </c>
      <c r="W58" s="285" t="s">
        <v>223</v>
      </c>
      <c r="X58" s="1418"/>
      <c r="Y58" s="1455"/>
      <c r="Z58" s="285" t="s">
        <v>212</v>
      </c>
      <c r="AA58" s="285" t="s">
        <v>213</v>
      </c>
      <c r="AB58" s="285" t="s">
        <v>214</v>
      </c>
      <c r="AC58" s="538" t="s">
        <v>195</v>
      </c>
      <c r="AD58" s="285" t="s">
        <v>215</v>
      </c>
      <c r="AE58" s="285" t="s">
        <v>216</v>
      </c>
      <c r="AF58" s="285" t="s">
        <v>217</v>
      </c>
      <c r="AG58" s="536" t="s">
        <v>193</v>
      </c>
      <c r="AH58" s="285" t="s">
        <v>218</v>
      </c>
      <c r="AI58" s="285" t="s">
        <v>219</v>
      </c>
      <c r="AJ58" s="471" t="s">
        <v>220</v>
      </c>
      <c r="AK58" s="536" t="s">
        <v>194</v>
      </c>
      <c r="AL58" s="595"/>
      <c r="AM58" s="285" t="s">
        <v>221</v>
      </c>
      <c r="AN58" s="285" t="s">
        <v>222</v>
      </c>
      <c r="AO58" s="285" t="s">
        <v>223</v>
      </c>
      <c r="AP58" s="412" t="s">
        <v>196</v>
      </c>
      <c r="AQ58" s="547"/>
      <c r="AR58" s="560"/>
      <c r="AS58" s="221"/>
      <c r="AT58" s="284"/>
      <c r="AU58" s="285" t="s">
        <v>212</v>
      </c>
      <c r="AV58" s="285" t="s">
        <v>213</v>
      </c>
      <c r="AW58" s="285" t="s">
        <v>214</v>
      </c>
      <c r="AX58" s="285" t="s">
        <v>368</v>
      </c>
      <c r="AY58" s="285" t="s">
        <v>215</v>
      </c>
      <c r="AZ58" s="285" t="s">
        <v>216</v>
      </c>
      <c r="BA58" s="285" t="s">
        <v>217</v>
      </c>
      <c r="BB58" s="285" t="s">
        <v>370</v>
      </c>
      <c r="BC58" s="285" t="s">
        <v>218</v>
      </c>
      <c r="BD58" s="285" t="s">
        <v>219</v>
      </c>
      <c r="BE58" s="285" t="s">
        <v>220</v>
      </c>
      <c r="BF58" s="285" t="s">
        <v>375</v>
      </c>
      <c r="BG58" s="285" t="s">
        <v>221</v>
      </c>
      <c r="BH58" s="285" t="s">
        <v>222</v>
      </c>
      <c r="BI58" s="285" t="s">
        <v>223</v>
      </c>
      <c r="BJ58" s="285" t="s">
        <v>373</v>
      </c>
      <c r="BK58" s="1413"/>
      <c r="BL58" s="1414"/>
      <c r="BM58" s="285" t="s">
        <v>212</v>
      </c>
      <c r="BN58" s="285" t="s">
        <v>213</v>
      </c>
      <c r="BO58" s="285" t="s">
        <v>214</v>
      </c>
      <c r="BP58" s="182" t="s">
        <v>195</v>
      </c>
      <c r="BQ58" s="285" t="s">
        <v>215</v>
      </c>
      <c r="BR58" s="285" t="s">
        <v>216</v>
      </c>
      <c r="BS58" s="285" t="s">
        <v>217</v>
      </c>
      <c r="BT58" s="286" t="s">
        <v>193</v>
      </c>
      <c r="BU58" s="285" t="s">
        <v>218</v>
      </c>
      <c r="BV58" s="285" t="s">
        <v>219</v>
      </c>
      <c r="BW58" s="285" t="s">
        <v>220</v>
      </c>
      <c r="BX58" s="286" t="s">
        <v>194</v>
      </c>
      <c r="BY58" s="285" t="s">
        <v>221</v>
      </c>
      <c r="BZ58" s="285" t="s">
        <v>222</v>
      </c>
      <c r="CA58" s="285" t="s">
        <v>223</v>
      </c>
      <c r="CB58" s="286" t="s">
        <v>196</v>
      </c>
      <c r="CC58" s="1430"/>
      <c r="CD58" s="1432"/>
      <c r="CE58" s="547"/>
      <c r="CF58" s="221"/>
    </row>
    <row r="59" spans="1:84" s="136" customFormat="1" ht="54" customHeight="1" thickBot="1">
      <c r="A59" s="136">
        <v>4</v>
      </c>
      <c r="B59" s="287" t="s">
        <v>25</v>
      </c>
      <c r="C59" s="288"/>
      <c r="D59" s="288"/>
      <c r="E59" s="289"/>
      <c r="F59" s="289"/>
      <c r="G59" s="289"/>
      <c r="H59" s="289"/>
      <c r="I59" s="289"/>
      <c r="J59" s="289"/>
      <c r="K59" s="289"/>
      <c r="L59" s="289"/>
      <c r="M59" s="289"/>
      <c r="N59" s="289"/>
      <c r="O59" s="289"/>
      <c r="P59" s="289"/>
      <c r="Q59" s="289"/>
      <c r="R59" s="289"/>
      <c r="S59" s="289"/>
      <c r="T59" s="289"/>
      <c r="U59" s="289"/>
      <c r="V59" s="289"/>
      <c r="W59" s="289"/>
      <c r="X59" s="289"/>
      <c r="Y59" s="290"/>
      <c r="Z59" s="289"/>
      <c r="AA59" s="289"/>
      <c r="AB59" s="289"/>
      <c r="AC59" s="291"/>
      <c r="AD59" s="289"/>
      <c r="AE59" s="289"/>
      <c r="AF59" s="289"/>
      <c r="AG59" s="292"/>
      <c r="AH59" s="289"/>
      <c r="AI59" s="289"/>
      <c r="AJ59" s="472"/>
      <c r="AK59" s="293"/>
      <c r="AL59" s="596"/>
      <c r="AM59" s="289"/>
      <c r="AN59" s="289"/>
      <c r="AO59" s="289"/>
      <c r="AP59" s="293"/>
      <c r="AQ59" s="289"/>
      <c r="AR59" s="569"/>
      <c r="AS59" s="289"/>
      <c r="AT59" s="294"/>
      <c r="AU59" s="289"/>
      <c r="AV59" s="289"/>
      <c r="AW59" s="289"/>
      <c r="AX59" s="289"/>
      <c r="AY59" s="289"/>
      <c r="AZ59" s="289"/>
      <c r="BA59" s="289"/>
      <c r="BB59" s="289"/>
      <c r="BC59" s="289"/>
      <c r="BD59" s="289"/>
      <c r="BE59" s="289"/>
      <c r="BF59" s="289"/>
      <c r="BG59" s="289"/>
      <c r="BH59" s="289"/>
      <c r="BI59" s="289"/>
      <c r="BJ59" s="289"/>
      <c r="BK59" s="289"/>
      <c r="BL59" s="433"/>
      <c r="BM59" s="289"/>
      <c r="BN59" s="289"/>
      <c r="BO59" s="289"/>
      <c r="BP59" s="295"/>
      <c r="BQ59" s="289"/>
      <c r="BR59" s="289"/>
      <c r="BS59" s="289"/>
      <c r="BT59" s="295"/>
      <c r="BU59" s="289"/>
      <c r="BV59" s="289"/>
      <c r="BW59" s="289"/>
      <c r="BX59" s="296"/>
      <c r="BY59" s="289"/>
      <c r="BZ59" s="289"/>
      <c r="CA59" s="289"/>
      <c r="CB59" s="295"/>
      <c r="CC59" s="297"/>
      <c r="CD59" s="289"/>
      <c r="CE59" s="289"/>
      <c r="CF59" s="289"/>
    </row>
    <row r="60" spans="1:84" s="136" customFormat="1" ht="54" customHeight="1" thickBot="1">
      <c r="A60" s="142"/>
      <c r="B60" s="190" t="s">
        <v>201</v>
      </c>
      <c r="C60" s="298" t="s">
        <v>200</v>
      </c>
      <c r="D60" s="298" t="s">
        <v>203</v>
      </c>
      <c r="E60" s="1438" t="s">
        <v>149</v>
      </c>
      <c r="F60" s="32" t="s">
        <v>150</v>
      </c>
      <c r="G60" s="33" t="s">
        <v>152</v>
      </c>
      <c r="H60" s="32" t="s">
        <v>153</v>
      </c>
      <c r="I60" s="299">
        <f>1867+1418</f>
        <v>3285</v>
      </c>
      <c r="J60" s="299">
        <v>3500</v>
      </c>
      <c r="K60" s="32" t="s">
        <v>155</v>
      </c>
      <c r="L60" s="300">
        <v>300</v>
      </c>
      <c r="M60" s="300">
        <v>275</v>
      </c>
      <c r="N60" s="300">
        <v>300</v>
      </c>
      <c r="O60" s="300">
        <v>300</v>
      </c>
      <c r="P60" s="300">
        <v>300</v>
      </c>
      <c r="Q60" s="300">
        <v>300</v>
      </c>
      <c r="R60" s="300">
        <v>275</v>
      </c>
      <c r="S60" s="300">
        <v>275</v>
      </c>
      <c r="T60" s="300">
        <v>300</v>
      </c>
      <c r="U60" s="300">
        <v>275</v>
      </c>
      <c r="V60" s="300">
        <v>300</v>
      </c>
      <c r="W60" s="300">
        <v>300</v>
      </c>
      <c r="X60" s="301">
        <f aca="true" t="shared" si="33" ref="X60:X71">SUM(L60:W60)</f>
        <v>3500</v>
      </c>
      <c r="Y60" s="533">
        <f aca="true" t="shared" si="34" ref="Y60:Y71">+BK60</f>
        <v>84593.13</v>
      </c>
      <c r="Z60" s="134">
        <v>290</v>
      </c>
      <c r="AA60" s="134">
        <v>258</v>
      </c>
      <c r="AB60" s="134">
        <v>305</v>
      </c>
      <c r="AC60" s="538">
        <f aca="true" t="shared" si="35" ref="AC60:AC69">(Z60+AA60+AB60)/(+L60+M60+N60)</f>
        <v>0.9748571428571429</v>
      </c>
      <c r="AD60" s="134">
        <v>299</v>
      </c>
      <c r="AE60" s="134">
        <v>325</v>
      </c>
      <c r="AF60" s="134">
        <v>276</v>
      </c>
      <c r="AG60" s="302">
        <f aca="true" t="shared" si="36" ref="AG60:AG69">(+AD60+AE60+AF60)/(+O60+P60+Q60)</f>
        <v>1</v>
      </c>
      <c r="AH60" s="134">
        <v>259</v>
      </c>
      <c r="AI60" s="134">
        <v>301</v>
      </c>
      <c r="AJ60" s="473">
        <v>273</v>
      </c>
      <c r="AK60" s="262">
        <f aca="true" t="shared" si="37" ref="AK60:AK69">+(AH60+AI60+AJ60)/(+R60+S60+T60)</f>
        <v>0.98</v>
      </c>
      <c r="AL60" s="593"/>
      <c r="AM60" s="134">
        <v>272</v>
      </c>
      <c r="AN60" s="134">
        <v>300</v>
      </c>
      <c r="AO60" s="134">
        <v>267</v>
      </c>
      <c r="AP60" s="262">
        <f aca="true" t="shared" si="38" ref="AP60:AP76">(AM60+AN60+AO60)/(+U60+V60+W60)</f>
        <v>0.9588571428571429</v>
      </c>
      <c r="AQ60" s="83">
        <f aca="true" t="shared" si="39" ref="AQ60:AQ76">+AO60+AN60+AM60+AJ60+AI60+AH60+AF60+AE60+AD60+AB60+AA60+Z60</f>
        <v>3425</v>
      </c>
      <c r="AR60" s="554" t="s">
        <v>356</v>
      </c>
      <c r="AS60" s="134">
        <v>97.85</v>
      </c>
      <c r="AT60" s="263"/>
      <c r="AU60" s="138">
        <v>0</v>
      </c>
      <c r="AV60" s="138">
        <v>0</v>
      </c>
      <c r="AW60" s="138">
        <v>1514</v>
      </c>
      <c r="AX60" s="232">
        <f aca="true" t="shared" si="40" ref="AX60:AX76">SUM(AU60:AW60)</f>
        <v>1514</v>
      </c>
      <c r="AY60" s="138">
        <v>32000</v>
      </c>
      <c r="AZ60" s="138">
        <v>32000</v>
      </c>
      <c r="BA60" s="138">
        <v>0</v>
      </c>
      <c r="BB60" s="138">
        <f>SUM(AY60:BA60)</f>
        <v>64000</v>
      </c>
      <c r="BC60" s="138">
        <f>-66000+84596.67</f>
        <v>18596.67</v>
      </c>
      <c r="BD60" s="138">
        <v>0</v>
      </c>
      <c r="BE60" s="138">
        <v>0</v>
      </c>
      <c r="BF60" s="138">
        <f>SUM(BC60:BE60)</f>
        <v>18596.67</v>
      </c>
      <c r="BG60" s="138">
        <v>482.46</v>
      </c>
      <c r="BH60" s="138">
        <v>0</v>
      </c>
      <c r="BI60" s="138">
        <v>0</v>
      </c>
      <c r="BJ60" s="138">
        <f>SUM(BG60:BI60)</f>
        <v>482.46</v>
      </c>
      <c r="BK60" s="611">
        <f>+BJ60+BF60+BB60+AX60</f>
        <v>84593.13</v>
      </c>
      <c r="BL60" s="434"/>
      <c r="BM60" s="264">
        <v>0</v>
      </c>
      <c r="BN60" s="264">
        <v>0</v>
      </c>
      <c r="BO60" s="264">
        <v>143</v>
      </c>
      <c r="BP60" s="267">
        <f>+(BM60+BN60+BO60)/(AU60+AV60+AW60)</f>
        <v>0.09445178335535007</v>
      </c>
      <c r="BQ60" s="265">
        <v>31491.88</v>
      </c>
      <c r="BR60" s="265">
        <v>30652.99</v>
      </c>
      <c r="BS60" s="265">
        <f>7810.46+2989.98</f>
        <v>10800.44</v>
      </c>
      <c r="BT60" s="267">
        <f>+(BQ60+BR60+BS60)/(AY60+AZ60+BA60)</f>
        <v>1.1397704687499999</v>
      </c>
      <c r="BU60" s="265">
        <v>3136</v>
      </c>
      <c r="BV60" s="265">
        <v>0</v>
      </c>
      <c r="BW60" s="265">
        <v>6580.22</v>
      </c>
      <c r="BX60" s="266">
        <f>+(BU60+BV60+BW60)/(BC60+BD60+BE60)</f>
        <v>0.5224709585103141</v>
      </c>
      <c r="BY60" s="264">
        <v>0</v>
      </c>
      <c r="BZ60" s="264">
        <v>0</v>
      </c>
      <c r="CA60" s="264">
        <v>456.12</v>
      </c>
      <c r="CB60" s="581">
        <f aca="true" t="shared" si="41" ref="CB60:CB76">+(BY60+BZ60+CA60)/(BG60+BH60+BI60)</f>
        <v>0.9454048003979605</v>
      </c>
      <c r="CC60" s="201">
        <f aca="true" t="shared" si="42" ref="CC60:CC76">+BM60+BN60+BO60+BQ60+BR60+BS60+BU60+BV60+BW60+BY60+BZ60+CA60</f>
        <v>83260.65</v>
      </c>
      <c r="CD60" s="143">
        <f>+CC60/BK60</f>
        <v>0.9842483662680408</v>
      </c>
      <c r="CE60" s="549" t="s">
        <v>165</v>
      </c>
      <c r="CF60" s="134"/>
    </row>
    <row r="61" spans="1:84" s="136" customFormat="1" ht="54" customHeight="1" thickBot="1">
      <c r="A61" s="142"/>
      <c r="B61" s="190" t="s">
        <v>199</v>
      </c>
      <c r="C61" s="298" t="s">
        <v>200</v>
      </c>
      <c r="D61" s="298" t="s">
        <v>198</v>
      </c>
      <c r="E61" s="1438"/>
      <c r="F61" s="32" t="s">
        <v>151</v>
      </c>
      <c r="G61" s="33" t="s">
        <v>379</v>
      </c>
      <c r="H61" s="32" t="s">
        <v>154</v>
      </c>
      <c r="I61" s="54">
        <v>1735</v>
      </c>
      <c r="J61" s="54">
        <v>1860</v>
      </c>
      <c r="K61" s="32" t="s">
        <v>156</v>
      </c>
      <c r="L61" s="54">
        <v>160</v>
      </c>
      <c r="M61" s="54">
        <v>150</v>
      </c>
      <c r="N61" s="54">
        <v>160</v>
      </c>
      <c r="O61" s="54">
        <v>150</v>
      </c>
      <c r="P61" s="54">
        <v>160</v>
      </c>
      <c r="Q61" s="54">
        <v>150</v>
      </c>
      <c r="R61" s="54">
        <v>160</v>
      </c>
      <c r="S61" s="54">
        <v>150</v>
      </c>
      <c r="T61" s="54">
        <v>160</v>
      </c>
      <c r="U61" s="54">
        <v>150</v>
      </c>
      <c r="V61" s="54">
        <v>160</v>
      </c>
      <c r="W61" s="54">
        <v>150</v>
      </c>
      <c r="X61" s="54">
        <f t="shared" si="33"/>
        <v>1860</v>
      </c>
      <c r="Y61" s="533">
        <f t="shared" si="34"/>
        <v>1766000</v>
      </c>
      <c r="Z61" s="134">
        <v>172</v>
      </c>
      <c r="AA61" s="134">
        <v>141</v>
      </c>
      <c r="AB61" s="134">
        <v>173</v>
      </c>
      <c r="AC61" s="538">
        <f t="shared" si="35"/>
        <v>1.0340425531914894</v>
      </c>
      <c r="AD61" s="134">
        <v>161</v>
      </c>
      <c r="AE61" s="134">
        <v>134</v>
      </c>
      <c r="AF61" s="134">
        <v>159</v>
      </c>
      <c r="AG61" s="302">
        <f t="shared" si="36"/>
        <v>0.9869565217391304</v>
      </c>
      <c r="AH61" s="134">
        <v>160</v>
      </c>
      <c r="AI61" s="134">
        <v>150</v>
      </c>
      <c r="AJ61" s="473">
        <v>172</v>
      </c>
      <c r="AK61" s="262">
        <f t="shared" si="37"/>
        <v>1.025531914893617</v>
      </c>
      <c r="AL61" s="593"/>
      <c r="AM61" s="134">
        <v>160</v>
      </c>
      <c r="AN61" s="134">
        <v>166</v>
      </c>
      <c r="AO61" s="134">
        <v>178</v>
      </c>
      <c r="AP61" s="262">
        <f t="shared" si="38"/>
        <v>1.0956521739130434</v>
      </c>
      <c r="AQ61" s="83">
        <f t="shared" si="39"/>
        <v>1926</v>
      </c>
      <c r="AR61" s="554" t="s">
        <v>356</v>
      </c>
      <c r="AS61" s="134"/>
      <c r="AT61" s="263"/>
      <c r="AU61" s="264">
        <v>85000</v>
      </c>
      <c r="AV61" s="264">
        <v>125000</v>
      </c>
      <c r="AW61" s="264">
        <v>125000</v>
      </c>
      <c r="AX61" s="232">
        <f t="shared" si="40"/>
        <v>335000</v>
      </c>
      <c r="AY61" s="265">
        <v>125000</v>
      </c>
      <c r="AZ61" s="265">
        <v>125000</v>
      </c>
      <c r="BA61" s="265">
        <v>125000</v>
      </c>
      <c r="BB61" s="138">
        <f aca="true" t="shared" si="43" ref="BB61:BB76">SUM(AY61:BA61)</f>
        <v>375000</v>
      </c>
      <c r="BC61" s="265">
        <v>142000</v>
      </c>
      <c r="BD61" s="265">
        <v>142000</v>
      </c>
      <c r="BE61" s="265">
        <v>142000</v>
      </c>
      <c r="BF61" s="138">
        <f aca="true" t="shared" si="44" ref="BF61:BF76">SUM(BC61:BE61)</f>
        <v>426000</v>
      </c>
      <c r="BG61" s="265">
        <v>210000</v>
      </c>
      <c r="BH61" s="265">
        <v>210000</v>
      </c>
      <c r="BI61" s="265">
        <v>210000</v>
      </c>
      <c r="BJ61" s="138">
        <f aca="true" t="shared" si="45" ref="BJ61:BJ75">SUM(BG61:BI61)</f>
        <v>630000</v>
      </c>
      <c r="BK61" s="139">
        <f aca="true" t="shared" si="46" ref="BK61:BK76">+BJ61+BF61+BB61+AX61</f>
        <v>1766000</v>
      </c>
      <c r="BL61" s="434"/>
      <c r="BM61" s="264">
        <v>82493.86</v>
      </c>
      <c r="BN61" s="264">
        <v>124820.69</v>
      </c>
      <c r="BO61" s="264">
        <v>120076.4</v>
      </c>
      <c r="BP61" s="267">
        <f>+(BM61+BN61+BO61)/(AU61+AV61+AW61)</f>
        <v>0.9772864179104476</v>
      </c>
      <c r="BQ61" s="265">
        <v>123814.41</v>
      </c>
      <c r="BR61" s="265">
        <f>119649.88+0.13</f>
        <v>119650.01000000001</v>
      </c>
      <c r="BS61" s="265">
        <v>135222.42</v>
      </c>
      <c r="BT61" s="267">
        <f>+(BQ61+BR61+BS61)/(AY61+AZ61+BA61)</f>
        <v>1.0098315733333334</v>
      </c>
      <c r="BU61" s="265">
        <v>114252.63</v>
      </c>
      <c r="BV61" s="265">
        <v>161151.67</v>
      </c>
      <c r="BW61" s="265">
        <v>149875.14</v>
      </c>
      <c r="BX61" s="266">
        <f>+(BU61+BV61+BW61)/(BC61+BD61+BE61)</f>
        <v>0.9983085446009391</v>
      </c>
      <c r="BY61" s="264">
        <v>158991.8</v>
      </c>
      <c r="BZ61" s="264">
        <v>165443.11</v>
      </c>
      <c r="CA61" s="264">
        <v>276499.37</v>
      </c>
      <c r="CB61" s="581">
        <f t="shared" si="41"/>
        <v>0.9538639365079365</v>
      </c>
      <c r="CC61" s="201">
        <f t="shared" si="42"/>
        <v>1732291.5100000002</v>
      </c>
      <c r="CD61" s="143">
        <f aca="true" t="shared" si="47" ref="CD61:CD74">+CC61/BK61</f>
        <v>0.9809125198187997</v>
      </c>
      <c r="CE61" s="549" t="s">
        <v>165</v>
      </c>
      <c r="CF61" s="549" t="s">
        <v>254</v>
      </c>
    </row>
    <row r="62" spans="1:84" ht="54" customHeight="1" thickBot="1">
      <c r="A62" s="133"/>
      <c r="B62" s="190" t="s">
        <v>199</v>
      </c>
      <c r="C62" s="191" t="s">
        <v>200</v>
      </c>
      <c r="D62" s="191" t="s">
        <v>198</v>
      </c>
      <c r="E62" s="1438"/>
      <c r="F62" s="32" t="s">
        <v>158</v>
      </c>
      <c r="G62" s="35" t="s">
        <v>159</v>
      </c>
      <c r="H62" s="32" t="s">
        <v>162</v>
      </c>
      <c r="I62" s="303">
        <v>5029</v>
      </c>
      <c r="J62" s="303">
        <v>5232</v>
      </c>
      <c r="K62" s="32" t="s">
        <v>157</v>
      </c>
      <c r="L62" s="54">
        <v>436</v>
      </c>
      <c r="M62" s="54">
        <v>436</v>
      </c>
      <c r="N62" s="54">
        <v>436</v>
      </c>
      <c r="O62" s="54">
        <v>436</v>
      </c>
      <c r="P62" s="54">
        <v>436</v>
      </c>
      <c r="Q62" s="54">
        <v>436</v>
      </c>
      <c r="R62" s="54">
        <v>436</v>
      </c>
      <c r="S62" s="54">
        <v>436</v>
      </c>
      <c r="T62" s="54">
        <v>436</v>
      </c>
      <c r="U62" s="54">
        <v>436</v>
      </c>
      <c r="V62" s="54">
        <v>436</v>
      </c>
      <c r="W62" s="54">
        <v>436</v>
      </c>
      <c r="X62" s="54">
        <f t="shared" si="33"/>
        <v>5232</v>
      </c>
      <c r="Y62" s="533">
        <f t="shared" si="34"/>
        <v>0</v>
      </c>
      <c r="Z62" s="543">
        <v>464</v>
      </c>
      <c r="AA62" s="543">
        <v>398</v>
      </c>
      <c r="AB62" s="543">
        <v>481</v>
      </c>
      <c r="AC62" s="104">
        <f t="shared" si="35"/>
        <v>1.0267584097859328</v>
      </c>
      <c r="AD62" s="543">
        <v>458</v>
      </c>
      <c r="AE62" s="543">
        <v>457</v>
      </c>
      <c r="AF62" s="543">
        <v>432</v>
      </c>
      <c r="AG62" s="106">
        <f t="shared" si="36"/>
        <v>1.0298165137614679</v>
      </c>
      <c r="AH62" s="543">
        <v>422</v>
      </c>
      <c r="AI62" s="543">
        <v>453</v>
      </c>
      <c r="AJ62" s="474">
        <v>447</v>
      </c>
      <c r="AK62" s="231">
        <f t="shared" si="37"/>
        <v>1.010703363914373</v>
      </c>
      <c r="AL62" s="587"/>
      <c r="AM62" s="82">
        <v>432</v>
      </c>
      <c r="AN62" s="82">
        <v>467</v>
      </c>
      <c r="AO62" s="82">
        <v>448</v>
      </c>
      <c r="AP62" s="231">
        <f t="shared" si="38"/>
        <v>1.0298165137614679</v>
      </c>
      <c r="AQ62" s="83">
        <f t="shared" si="39"/>
        <v>5359</v>
      </c>
      <c r="AR62" s="554" t="s">
        <v>356</v>
      </c>
      <c r="AS62" s="103"/>
      <c r="AT62" s="161"/>
      <c r="AU62" s="60">
        <v>0</v>
      </c>
      <c r="AV62" s="60">
        <v>0</v>
      </c>
      <c r="AW62" s="60">
        <v>0</v>
      </c>
      <c r="AX62" s="232">
        <f t="shared" si="40"/>
        <v>0</v>
      </c>
      <c r="AY62" s="60">
        <v>0</v>
      </c>
      <c r="AZ62" s="60">
        <v>0</v>
      </c>
      <c r="BA62" s="60">
        <v>0</v>
      </c>
      <c r="BB62" s="138">
        <f t="shared" si="43"/>
        <v>0</v>
      </c>
      <c r="BC62" s="60">
        <v>0</v>
      </c>
      <c r="BD62" s="60">
        <v>0</v>
      </c>
      <c r="BE62" s="60">
        <v>0</v>
      </c>
      <c r="BF62" s="138">
        <f t="shared" si="44"/>
        <v>0</v>
      </c>
      <c r="BG62" s="60">
        <v>0</v>
      </c>
      <c r="BH62" s="60">
        <v>0</v>
      </c>
      <c r="BI62" s="60">
        <v>0</v>
      </c>
      <c r="BJ62" s="138">
        <f t="shared" si="45"/>
        <v>0</v>
      </c>
      <c r="BK62" s="139">
        <f t="shared" si="46"/>
        <v>0</v>
      </c>
      <c r="BL62" s="425"/>
      <c r="BM62" s="110">
        <v>0</v>
      </c>
      <c r="BN62" s="110">
        <v>0</v>
      </c>
      <c r="BO62" s="110">
        <v>0</v>
      </c>
      <c r="BP62" s="267"/>
      <c r="BQ62" s="71">
        <v>0</v>
      </c>
      <c r="BR62" s="71">
        <v>0</v>
      </c>
      <c r="BS62" s="71">
        <v>0</v>
      </c>
      <c r="BT62" s="267"/>
      <c r="BU62" s="71">
        <v>0</v>
      </c>
      <c r="BV62" s="71">
        <v>0</v>
      </c>
      <c r="BW62" s="71">
        <v>0</v>
      </c>
      <c r="BX62" s="266"/>
      <c r="BY62" s="107">
        <v>0</v>
      </c>
      <c r="BZ62" s="107">
        <v>0</v>
      </c>
      <c r="CA62" s="107">
        <v>0</v>
      </c>
      <c r="CB62" s="581" t="e">
        <f t="shared" si="41"/>
        <v>#DIV/0!</v>
      </c>
      <c r="CC62" s="201">
        <f t="shared" si="42"/>
        <v>0</v>
      </c>
      <c r="CD62" s="60">
        <v>0</v>
      </c>
      <c r="CE62" s="101" t="s">
        <v>165</v>
      </c>
      <c r="CF62" s="105"/>
    </row>
    <row r="63" spans="1:84" ht="54" customHeight="1" thickBot="1">
      <c r="A63" s="133"/>
      <c r="B63" s="190" t="s">
        <v>199</v>
      </c>
      <c r="C63" s="191" t="s">
        <v>200</v>
      </c>
      <c r="D63" s="191" t="s">
        <v>198</v>
      </c>
      <c r="E63" s="1438"/>
      <c r="F63" s="32" t="s">
        <v>160</v>
      </c>
      <c r="G63" s="35" t="s">
        <v>161</v>
      </c>
      <c r="H63" s="32" t="s">
        <v>163</v>
      </c>
      <c r="I63" s="303">
        <v>343</v>
      </c>
      <c r="J63" s="303">
        <v>444</v>
      </c>
      <c r="K63" s="550" t="s">
        <v>164</v>
      </c>
      <c r="L63" s="54">
        <v>37</v>
      </c>
      <c r="M63" s="54">
        <v>37</v>
      </c>
      <c r="N63" s="54">
        <v>37</v>
      </c>
      <c r="O63" s="54">
        <v>37</v>
      </c>
      <c r="P63" s="54">
        <v>37</v>
      </c>
      <c r="Q63" s="54">
        <v>37</v>
      </c>
      <c r="R63" s="54">
        <v>37</v>
      </c>
      <c r="S63" s="54">
        <v>37</v>
      </c>
      <c r="T63" s="54">
        <v>37</v>
      </c>
      <c r="U63" s="54">
        <v>37</v>
      </c>
      <c r="V63" s="54">
        <v>37</v>
      </c>
      <c r="W63" s="54">
        <v>37</v>
      </c>
      <c r="X63" s="54">
        <f t="shared" si="33"/>
        <v>444</v>
      </c>
      <c r="Y63" s="533">
        <f t="shared" si="34"/>
        <v>1522000</v>
      </c>
      <c r="Z63" s="543">
        <v>46</v>
      </c>
      <c r="AA63" s="543">
        <v>40</v>
      </c>
      <c r="AB63" s="543">
        <v>47</v>
      </c>
      <c r="AC63" s="104">
        <f t="shared" si="35"/>
        <v>1.1981981981981982</v>
      </c>
      <c r="AD63" s="543">
        <v>39</v>
      </c>
      <c r="AE63" s="543">
        <v>36</v>
      </c>
      <c r="AF63" s="543">
        <v>35</v>
      </c>
      <c r="AG63" s="106">
        <f t="shared" si="36"/>
        <v>0.990990990990991</v>
      </c>
      <c r="AH63" s="543">
        <v>34</v>
      </c>
      <c r="AI63" s="543">
        <v>45</v>
      </c>
      <c r="AJ63" s="474">
        <v>52</v>
      </c>
      <c r="AK63" s="231">
        <f t="shared" si="37"/>
        <v>1.1801801801801801</v>
      </c>
      <c r="AL63" s="587"/>
      <c r="AM63" s="82">
        <v>32</v>
      </c>
      <c r="AN63" s="82">
        <v>47</v>
      </c>
      <c r="AO63" s="82">
        <v>44</v>
      </c>
      <c r="AP63" s="231">
        <f t="shared" si="38"/>
        <v>1.1081081081081081</v>
      </c>
      <c r="AQ63" s="83">
        <f t="shared" si="39"/>
        <v>497</v>
      </c>
      <c r="AR63" s="554" t="s">
        <v>165</v>
      </c>
      <c r="AS63" s="103"/>
      <c r="AT63" s="161"/>
      <c r="AU63" s="264">
        <v>70000</v>
      </c>
      <c r="AV63" s="264">
        <v>120000</v>
      </c>
      <c r="AW63" s="264">
        <v>120000</v>
      </c>
      <c r="AX63" s="232">
        <f t="shared" si="40"/>
        <v>310000</v>
      </c>
      <c r="AY63" s="265">
        <v>127000</v>
      </c>
      <c r="AZ63" s="265">
        <v>127000</v>
      </c>
      <c r="BA63" s="265">
        <v>127000</v>
      </c>
      <c r="BB63" s="138">
        <f t="shared" si="43"/>
        <v>381000</v>
      </c>
      <c r="BC63" s="265">
        <v>127000</v>
      </c>
      <c r="BD63" s="265">
        <v>127000</v>
      </c>
      <c r="BE63" s="265">
        <v>127000</v>
      </c>
      <c r="BF63" s="138">
        <f t="shared" si="44"/>
        <v>381000</v>
      </c>
      <c r="BG63" s="60">
        <v>150000</v>
      </c>
      <c r="BH63" s="60">
        <v>150000</v>
      </c>
      <c r="BI63" s="60">
        <v>150000</v>
      </c>
      <c r="BJ63" s="138">
        <f t="shared" si="45"/>
        <v>450000</v>
      </c>
      <c r="BK63" s="139">
        <f t="shared" si="46"/>
        <v>1522000</v>
      </c>
      <c r="BL63" s="425"/>
      <c r="BM63" s="264">
        <v>67818.06</v>
      </c>
      <c r="BN63" s="264">
        <v>129299.07</v>
      </c>
      <c r="BO63" s="264">
        <v>109298.47</v>
      </c>
      <c r="BP63" s="267">
        <f>+(BM63+BN63+BO63)/(AU63+AV63+AW63)</f>
        <v>0.9884374193548386</v>
      </c>
      <c r="BQ63" s="265">
        <v>109999.77</v>
      </c>
      <c r="BR63" s="265">
        <v>111022.9</v>
      </c>
      <c r="BS63" s="265">
        <v>126163.78</v>
      </c>
      <c r="BT63" s="267">
        <f>+(BQ63+BR63+BS63)/(AY63+AZ63+BA63)</f>
        <v>0.9112505249343831</v>
      </c>
      <c r="BU63" s="265">
        <v>100914.13</v>
      </c>
      <c r="BV63" s="265">
        <v>130112.52</v>
      </c>
      <c r="BW63" s="265">
        <v>125745.67</v>
      </c>
      <c r="BX63" s="266">
        <f>+(BU63+BV63+BW63)/(BC63+BD63+BE63)</f>
        <v>0.9364102887139107</v>
      </c>
      <c r="BY63" s="264">
        <v>127764.18</v>
      </c>
      <c r="BZ63" s="264">
        <v>138817.89</v>
      </c>
      <c r="CA63" s="264">
        <v>220941.18</v>
      </c>
      <c r="CB63" s="581">
        <f t="shared" si="41"/>
        <v>1.083385</v>
      </c>
      <c r="CC63" s="201">
        <f t="shared" si="42"/>
        <v>1497897.6199999999</v>
      </c>
      <c r="CD63" s="143">
        <f t="shared" si="47"/>
        <v>0.9841640078843626</v>
      </c>
      <c r="CE63" s="101" t="s">
        <v>165</v>
      </c>
      <c r="CF63" s="105"/>
    </row>
    <row r="64" spans="1:84" s="136" customFormat="1" ht="54" customHeight="1" thickBot="1">
      <c r="A64" s="133"/>
      <c r="B64" s="190" t="s">
        <v>199</v>
      </c>
      <c r="C64" s="298" t="s">
        <v>200</v>
      </c>
      <c r="D64" s="298" t="s">
        <v>198</v>
      </c>
      <c r="E64" s="32" t="s">
        <v>186</v>
      </c>
      <c r="F64" s="32" t="s">
        <v>187</v>
      </c>
      <c r="G64" s="33" t="s">
        <v>361</v>
      </c>
      <c r="H64" s="32" t="s">
        <v>188</v>
      </c>
      <c r="I64" s="54">
        <v>245</v>
      </c>
      <c r="J64" s="54">
        <v>250</v>
      </c>
      <c r="K64" s="550" t="s">
        <v>189</v>
      </c>
      <c r="L64" s="54">
        <v>20</v>
      </c>
      <c r="M64" s="54">
        <v>20</v>
      </c>
      <c r="N64" s="54">
        <v>20</v>
      </c>
      <c r="O64" s="54">
        <v>20</v>
      </c>
      <c r="P64" s="54">
        <v>20</v>
      </c>
      <c r="Q64" s="54">
        <v>20</v>
      </c>
      <c r="R64" s="54">
        <v>20</v>
      </c>
      <c r="S64" s="54">
        <v>20</v>
      </c>
      <c r="T64" s="54">
        <v>20</v>
      </c>
      <c r="U64" s="54">
        <v>25</v>
      </c>
      <c r="V64" s="54">
        <v>22</v>
      </c>
      <c r="W64" s="54">
        <v>23</v>
      </c>
      <c r="X64" s="54">
        <f t="shared" si="33"/>
        <v>250</v>
      </c>
      <c r="Y64" s="533">
        <f t="shared" si="34"/>
        <v>1075000</v>
      </c>
      <c r="Z64" s="134">
        <v>19</v>
      </c>
      <c r="AA64" s="134">
        <v>15</v>
      </c>
      <c r="AB64" s="134">
        <v>20</v>
      </c>
      <c r="AC64" s="538">
        <f t="shared" si="35"/>
        <v>0.9</v>
      </c>
      <c r="AD64" s="134">
        <v>15</v>
      </c>
      <c r="AE64" s="134">
        <v>16</v>
      </c>
      <c r="AF64" s="134">
        <v>12</v>
      </c>
      <c r="AG64" s="302">
        <f t="shared" si="36"/>
        <v>0.7166666666666667</v>
      </c>
      <c r="AH64" s="134">
        <v>10</v>
      </c>
      <c r="AI64" s="134">
        <v>11</v>
      </c>
      <c r="AJ64" s="473">
        <v>12</v>
      </c>
      <c r="AK64" s="262">
        <f t="shared" si="37"/>
        <v>0.55</v>
      </c>
      <c r="AL64" s="593"/>
      <c r="AM64" s="134">
        <v>7</v>
      </c>
      <c r="AN64" s="134">
        <v>8</v>
      </c>
      <c r="AO64" s="134">
        <v>5</v>
      </c>
      <c r="AP64" s="262">
        <f t="shared" si="38"/>
        <v>0.2857142857142857</v>
      </c>
      <c r="AQ64" s="83">
        <f t="shared" si="39"/>
        <v>150</v>
      </c>
      <c r="AR64" s="554" t="s">
        <v>165</v>
      </c>
      <c r="AS64" s="135"/>
      <c r="AT64" s="263"/>
      <c r="AU64" s="264">
        <v>72000</v>
      </c>
      <c r="AV64" s="264">
        <v>72000</v>
      </c>
      <c r="AW64" s="264">
        <v>72000</v>
      </c>
      <c r="AX64" s="232">
        <f t="shared" si="40"/>
        <v>216000</v>
      </c>
      <c r="AY64" s="265">
        <f>270000/3</f>
        <v>90000</v>
      </c>
      <c r="AZ64" s="265">
        <f>270000/3</f>
        <v>90000</v>
      </c>
      <c r="BA64" s="265">
        <f>270000/3</f>
        <v>90000</v>
      </c>
      <c r="BB64" s="138">
        <f t="shared" si="43"/>
        <v>270000</v>
      </c>
      <c r="BC64" s="265">
        <v>80000</v>
      </c>
      <c r="BD64" s="265">
        <v>80000</v>
      </c>
      <c r="BE64" s="265">
        <v>93000</v>
      </c>
      <c r="BF64" s="138">
        <f t="shared" si="44"/>
        <v>253000</v>
      </c>
      <c r="BG64" s="138">
        <v>93000</v>
      </c>
      <c r="BH64" s="138">
        <v>93000</v>
      </c>
      <c r="BI64" s="138">
        <v>150000</v>
      </c>
      <c r="BJ64" s="138">
        <f t="shared" si="45"/>
        <v>336000</v>
      </c>
      <c r="BK64" s="139">
        <f t="shared" si="46"/>
        <v>1075000</v>
      </c>
      <c r="BL64" s="434"/>
      <c r="BM64" s="264">
        <v>51611.72</v>
      </c>
      <c r="BN64" s="264">
        <v>80756.91</v>
      </c>
      <c r="BO64" s="264">
        <v>79625.27</v>
      </c>
      <c r="BP64" s="267">
        <f>+(BM64+BN64+BO64)/(AU64+AV64+AW64)</f>
        <v>0.9814532407407408</v>
      </c>
      <c r="BQ64" s="265">
        <v>79085.82</v>
      </c>
      <c r="BR64" s="265">
        <v>87219.49</v>
      </c>
      <c r="BS64" s="265">
        <v>101076.96</v>
      </c>
      <c r="BT64" s="267">
        <f>+(BQ64+BR64+BS64)/(AY64+AZ64+BA64)</f>
        <v>0.9903047037037038</v>
      </c>
      <c r="BU64" s="265">
        <v>76920.56</v>
      </c>
      <c r="BV64" s="265">
        <v>82455.67</v>
      </c>
      <c r="BW64" s="265">
        <v>93156.53</v>
      </c>
      <c r="BX64" s="266">
        <f>+(BU64+BV64+BW64)/(BC64+BD64+BE64)</f>
        <v>0.9981532015810276</v>
      </c>
      <c r="BY64" s="264">
        <f>74094.13+0.01</f>
        <v>74094.14</v>
      </c>
      <c r="BZ64" s="264">
        <v>79572.74</v>
      </c>
      <c r="CA64" s="264">
        <v>150066.16</v>
      </c>
      <c r="CB64" s="581">
        <f t="shared" si="41"/>
        <v>0.903967380952381</v>
      </c>
      <c r="CC64" s="201">
        <f t="shared" si="42"/>
        <v>1035641.9700000001</v>
      </c>
      <c r="CD64" s="143">
        <f t="shared" si="47"/>
        <v>0.9633878790697675</v>
      </c>
      <c r="CE64" s="549" t="s">
        <v>165</v>
      </c>
      <c r="CF64" s="135"/>
    </row>
    <row r="65" spans="1:84" ht="54" customHeight="1" thickBot="1">
      <c r="A65" s="133"/>
      <c r="B65" s="190" t="s">
        <v>199</v>
      </c>
      <c r="C65" s="191" t="s">
        <v>200</v>
      </c>
      <c r="D65" s="191" t="s">
        <v>198</v>
      </c>
      <c r="E65" s="34" t="s">
        <v>226</v>
      </c>
      <c r="F65" s="32" t="s">
        <v>166</v>
      </c>
      <c r="G65" s="35" t="s">
        <v>167</v>
      </c>
      <c r="H65" s="32" t="s">
        <v>171</v>
      </c>
      <c r="I65" s="303">
        <v>0</v>
      </c>
      <c r="J65" s="303">
        <v>1680</v>
      </c>
      <c r="K65" s="556" t="s">
        <v>185</v>
      </c>
      <c r="L65" s="54">
        <v>140</v>
      </c>
      <c r="M65" s="54">
        <v>140</v>
      </c>
      <c r="N65" s="54">
        <v>140</v>
      </c>
      <c r="O65" s="54">
        <v>140</v>
      </c>
      <c r="P65" s="54">
        <v>140</v>
      </c>
      <c r="Q65" s="54">
        <v>140</v>
      </c>
      <c r="R65" s="54">
        <v>140</v>
      </c>
      <c r="S65" s="54">
        <v>140</v>
      </c>
      <c r="T65" s="54">
        <v>140</v>
      </c>
      <c r="U65" s="54">
        <v>140</v>
      </c>
      <c r="V65" s="54">
        <v>140</v>
      </c>
      <c r="W65" s="54">
        <v>140</v>
      </c>
      <c r="X65" s="54">
        <f t="shared" si="33"/>
        <v>1680</v>
      </c>
      <c r="Y65" s="533">
        <f t="shared" si="34"/>
        <v>0</v>
      </c>
      <c r="Z65" s="543">
        <v>190</v>
      </c>
      <c r="AA65" s="543">
        <v>133</v>
      </c>
      <c r="AB65" s="543">
        <v>157</v>
      </c>
      <c r="AC65" s="104">
        <f t="shared" si="35"/>
        <v>1.1428571428571428</v>
      </c>
      <c r="AD65" s="543">
        <v>97</v>
      </c>
      <c r="AE65" s="543">
        <v>148</v>
      </c>
      <c r="AF65" s="543">
        <v>150</v>
      </c>
      <c r="AG65" s="106">
        <f t="shared" si="36"/>
        <v>0.9404761904761905</v>
      </c>
      <c r="AH65" s="543">
        <v>58</v>
      </c>
      <c r="AI65" s="543">
        <v>103</v>
      </c>
      <c r="AJ65" s="474">
        <v>107</v>
      </c>
      <c r="AK65" s="231">
        <f t="shared" si="37"/>
        <v>0.638095238095238</v>
      </c>
      <c r="AL65" s="587"/>
      <c r="AM65" s="580">
        <v>172</v>
      </c>
      <c r="AN65" s="580">
        <v>120</v>
      </c>
      <c r="AO65" s="580">
        <v>109</v>
      </c>
      <c r="AP65" s="231">
        <f t="shared" si="38"/>
        <v>0.9547619047619048</v>
      </c>
      <c r="AQ65" s="83">
        <f t="shared" si="39"/>
        <v>1544</v>
      </c>
      <c r="AR65" s="554" t="s">
        <v>190</v>
      </c>
      <c r="AS65" s="103" t="s">
        <v>360</v>
      </c>
      <c r="AT65" s="161"/>
      <c r="AU65" s="60">
        <v>0</v>
      </c>
      <c r="AV65" s="60">
        <v>0</v>
      </c>
      <c r="AW65" s="60">
        <v>0</v>
      </c>
      <c r="AX65" s="232">
        <f t="shared" si="40"/>
        <v>0</v>
      </c>
      <c r="AY65" s="60">
        <v>0</v>
      </c>
      <c r="AZ65" s="60">
        <v>0</v>
      </c>
      <c r="BA65" s="60">
        <v>0</v>
      </c>
      <c r="BB65" s="138">
        <f t="shared" si="43"/>
        <v>0</v>
      </c>
      <c r="BC65" s="60">
        <v>0</v>
      </c>
      <c r="BD65" s="60">
        <v>0</v>
      </c>
      <c r="BE65" s="60">
        <v>0</v>
      </c>
      <c r="BF65" s="138">
        <f t="shared" si="44"/>
        <v>0</v>
      </c>
      <c r="BG65" s="60">
        <v>0</v>
      </c>
      <c r="BH65" s="60">
        <v>0</v>
      </c>
      <c r="BI65" s="60">
        <v>0</v>
      </c>
      <c r="BJ65" s="138">
        <f t="shared" si="45"/>
        <v>0</v>
      </c>
      <c r="BK65" s="139">
        <f t="shared" si="46"/>
        <v>0</v>
      </c>
      <c r="BL65" s="425"/>
      <c r="BM65" s="110">
        <v>0</v>
      </c>
      <c r="BN65" s="110">
        <v>0</v>
      </c>
      <c r="BO65" s="110">
        <v>0</v>
      </c>
      <c r="BP65" s="267"/>
      <c r="BQ65" s="71">
        <v>0</v>
      </c>
      <c r="BR65" s="71">
        <v>0</v>
      </c>
      <c r="BS65" s="71">
        <v>0</v>
      </c>
      <c r="BT65" s="267"/>
      <c r="BU65" s="71">
        <v>0</v>
      </c>
      <c r="BV65" s="71">
        <v>0</v>
      </c>
      <c r="BW65" s="71">
        <v>0</v>
      </c>
      <c r="BX65" s="266"/>
      <c r="BY65" s="107">
        <v>0</v>
      </c>
      <c r="BZ65" s="107">
        <v>0</v>
      </c>
      <c r="CA65" s="107">
        <v>0</v>
      </c>
      <c r="CB65" s="581" t="e">
        <f t="shared" si="41"/>
        <v>#DIV/0!</v>
      </c>
      <c r="CC65" s="201">
        <f t="shared" si="42"/>
        <v>0</v>
      </c>
      <c r="CD65" s="60">
        <v>0</v>
      </c>
      <c r="CE65" s="101" t="s">
        <v>190</v>
      </c>
      <c r="CF65" s="1452" t="s">
        <v>309</v>
      </c>
    </row>
    <row r="66" spans="1:86" ht="54" customHeight="1" thickBot="1">
      <c r="A66" s="133"/>
      <c r="B66" s="190" t="s">
        <v>204</v>
      </c>
      <c r="C66" s="191" t="s">
        <v>243</v>
      </c>
      <c r="D66" s="191" t="s">
        <v>202</v>
      </c>
      <c r="E66" s="1453" t="s">
        <v>168</v>
      </c>
      <c r="F66" s="34" t="s">
        <v>169</v>
      </c>
      <c r="G66" s="35" t="s">
        <v>170</v>
      </c>
      <c r="H66" s="32" t="s">
        <v>174</v>
      </c>
      <c r="I66" s="303">
        <f>2088+3318</f>
        <v>5406</v>
      </c>
      <c r="J66" s="303">
        <v>5580</v>
      </c>
      <c r="K66" s="32" t="s">
        <v>175</v>
      </c>
      <c r="L66" s="54">
        <v>460</v>
      </c>
      <c r="M66" s="54">
        <v>470</v>
      </c>
      <c r="N66" s="54">
        <v>460</v>
      </c>
      <c r="O66" s="54">
        <v>470</v>
      </c>
      <c r="P66" s="54">
        <v>460</v>
      </c>
      <c r="Q66" s="54">
        <v>470</v>
      </c>
      <c r="R66" s="54">
        <v>460</v>
      </c>
      <c r="S66" s="54">
        <v>470</v>
      </c>
      <c r="T66" s="54">
        <v>460</v>
      </c>
      <c r="U66" s="54">
        <v>470</v>
      </c>
      <c r="V66" s="54">
        <v>460</v>
      </c>
      <c r="W66" s="54">
        <v>470</v>
      </c>
      <c r="X66" s="54">
        <f t="shared" si="33"/>
        <v>5580</v>
      </c>
      <c r="Y66" s="533">
        <f t="shared" si="34"/>
        <v>46591.31</v>
      </c>
      <c r="Z66" s="543">
        <v>569</v>
      </c>
      <c r="AA66" s="543">
        <v>440</v>
      </c>
      <c r="AB66" s="543">
        <v>461</v>
      </c>
      <c r="AC66" s="104">
        <f t="shared" si="35"/>
        <v>1.0575539568345325</v>
      </c>
      <c r="AD66" s="543">
        <v>425</v>
      </c>
      <c r="AE66" s="543">
        <v>550</v>
      </c>
      <c r="AF66" s="543">
        <v>474</v>
      </c>
      <c r="AG66" s="106">
        <f t="shared" si="36"/>
        <v>1.035</v>
      </c>
      <c r="AH66" s="543">
        <v>542</v>
      </c>
      <c r="AI66" s="543">
        <v>529</v>
      </c>
      <c r="AJ66" s="474">
        <v>580</v>
      </c>
      <c r="AK66" s="231">
        <f t="shared" si="37"/>
        <v>1.1877697841726618</v>
      </c>
      <c r="AL66" s="587"/>
      <c r="AM66" s="82">
        <v>556</v>
      </c>
      <c r="AN66" s="82">
        <v>541</v>
      </c>
      <c r="AO66" s="82">
        <v>525</v>
      </c>
      <c r="AP66" s="231">
        <f t="shared" si="38"/>
        <v>1.1585714285714286</v>
      </c>
      <c r="AQ66" s="83">
        <f t="shared" si="39"/>
        <v>6192</v>
      </c>
      <c r="AR66" s="554" t="s">
        <v>357</v>
      </c>
      <c r="AS66" s="103"/>
      <c r="AT66" s="161"/>
      <c r="AU66" s="60">
        <v>3243.45</v>
      </c>
      <c r="AV66" s="60">
        <v>3243.45</v>
      </c>
      <c r="AW66" s="60">
        <v>3489.84</v>
      </c>
      <c r="AX66" s="232">
        <f t="shared" si="40"/>
        <v>9976.74</v>
      </c>
      <c r="AY66" s="304">
        <v>3654.1</v>
      </c>
      <c r="AZ66" s="304">
        <v>3489.84</v>
      </c>
      <c r="BA66" s="304">
        <v>3489.84</v>
      </c>
      <c r="BB66" s="138">
        <f t="shared" si="43"/>
        <v>10633.78</v>
      </c>
      <c r="BC66" s="304">
        <v>3489.84</v>
      </c>
      <c r="BD66" s="60">
        <f>+(340*3)+3489.84</f>
        <v>4509.84</v>
      </c>
      <c r="BE66" s="304">
        <v>3489.84</v>
      </c>
      <c r="BF66" s="138">
        <f t="shared" si="44"/>
        <v>11489.52</v>
      </c>
      <c r="BG66" s="304">
        <v>3489.84</v>
      </c>
      <c r="BH66" s="304">
        <v>3489.84</v>
      </c>
      <c r="BI66" s="304">
        <f>46591.31-39079.72</f>
        <v>7511.5899999999965</v>
      </c>
      <c r="BJ66" s="138">
        <f t="shared" si="45"/>
        <v>14491.269999999997</v>
      </c>
      <c r="BK66" s="139">
        <f t="shared" si="46"/>
        <v>46591.31</v>
      </c>
      <c r="BL66" s="425"/>
      <c r="BM66" s="110">
        <v>3243.45</v>
      </c>
      <c r="BN66" s="110">
        <v>3243.45</v>
      </c>
      <c r="BO66" s="110">
        <v>3489.84</v>
      </c>
      <c r="BP66" s="267">
        <f>+(BM66+BN66+BO66)/(AU66+AV66+AW66)</f>
        <v>1</v>
      </c>
      <c r="BQ66" s="71">
        <v>3654.1</v>
      </c>
      <c r="BR66" s="71">
        <v>3489.84</v>
      </c>
      <c r="BS66" s="71">
        <v>3489.84</v>
      </c>
      <c r="BT66" s="267">
        <f>+(BQ66+BR66+BS66)/(AY66+AZ66+BA66)</f>
        <v>1</v>
      </c>
      <c r="BU66" s="304">
        <f>3489.84</f>
        <v>3489.84</v>
      </c>
      <c r="BV66" s="60">
        <f>4084.83</f>
        <v>4084.83</v>
      </c>
      <c r="BW66" s="304">
        <v>3489.84</v>
      </c>
      <c r="BX66" s="266">
        <f>+(BU66+BV66+BW66)/(BC66+BD66+BE66)</f>
        <v>0.9630088985440645</v>
      </c>
      <c r="BY66" s="107">
        <f>11699.85-8210.01</f>
        <v>3489.84</v>
      </c>
      <c r="BZ66" s="107">
        <f>56925.03-53435.19</f>
        <v>3489.8399999999965</v>
      </c>
      <c r="CA66" s="107">
        <f>30656.88-22720.28</f>
        <v>7936.600000000002</v>
      </c>
      <c r="CB66" s="581">
        <f t="shared" si="41"/>
        <v>1.029328692378239</v>
      </c>
      <c r="CC66" s="201">
        <f t="shared" si="42"/>
        <v>46591.31</v>
      </c>
      <c r="CD66" s="143">
        <f t="shared" si="47"/>
        <v>1</v>
      </c>
      <c r="CE66" s="101" t="s">
        <v>191</v>
      </c>
      <c r="CF66" s="1452"/>
      <c r="CH66" s="4" t="s">
        <v>308</v>
      </c>
    </row>
    <row r="67" spans="1:84" ht="54" customHeight="1" thickBot="1">
      <c r="A67" s="133"/>
      <c r="B67" s="190" t="s">
        <v>199</v>
      </c>
      <c r="C67" s="191" t="s">
        <v>200</v>
      </c>
      <c r="D67" s="191" t="s">
        <v>198</v>
      </c>
      <c r="E67" s="1454"/>
      <c r="F67" s="34"/>
      <c r="G67" s="35"/>
      <c r="H67" s="32" t="s">
        <v>172</v>
      </c>
      <c r="I67" s="303">
        <v>3524</v>
      </c>
      <c r="J67" s="303">
        <v>3120</v>
      </c>
      <c r="K67" s="32" t="s">
        <v>175</v>
      </c>
      <c r="L67" s="54">
        <v>260</v>
      </c>
      <c r="M67" s="54">
        <v>260</v>
      </c>
      <c r="N67" s="54">
        <v>260</v>
      </c>
      <c r="O67" s="54">
        <v>260</v>
      </c>
      <c r="P67" s="54">
        <v>260</v>
      </c>
      <c r="Q67" s="54">
        <v>260</v>
      </c>
      <c r="R67" s="54">
        <v>260</v>
      </c>
      <c r="S67" s="54">
        <v>260</v>
      </c>
      <c r="T67" s="54">
        <v>260</v>
      </c>
      <c r="U67" s="54">
        <v>260</v>
      </c>
      <c r="V67" s="54">
        <v>260</v>
      </c>
      <c r="W67" s="54">
        <v>260</v>
      </c>
      <c r="X67" s="54">
        <f t="shared" si="33"/>
        <v>3120</v>
      </c>
      <c r="Y67" s="533">
        <f t="shared" si="34"/>
        <v>0</v>
      </c>
      <c r="Z67" s="543">
        <v>238</v>
      </c>
      <c r="AA67" s="543">
        <v>249</v>
      </c>
      <c r="AB67" s="543">
        <v>297</v>
      </c>
      <c r="AC67" s="104">
        <f t="shared" si="35"/>
        <v>1.005128205128205</v>
      </c>
      <c r="AD67" s="543">
        <v>388</v>
      </c>
      <c r="AE67" s="543">
        <v>229</v>
      </c>
      <c r="AF67" s="543">
        <v>189</v>
      </c>
      <c r="AG67" s="106">
        <f t="shared" si="36"/>
        <v>1.0333333333333334</v>
      </c>
      <c r="AH67" s="543">
        <v>193</v>
      </c>
      <c r="AI67" s="543">
        <v>199</v>
      </c>
      <c r="AJ67" s="474">
        <v>153</v>
      </c>
      <c r="AK67" s="231">
        <f t="shared" si="37"/>
        <v>0.6987179487179487</v>
      </c>
      <c r="AL67" s="587"/>
      <c r="AM67" s="82">
        <v>111</v>
      </c>
      <c r="AN67" s="82">
        <v>73</v>
      </c>
      <c r="AO67" s="82">
        <v>92</v>
      </c>
      <c r="AP67" s="231">
        <f t="shared" si="38"/>
        <v>0.35384615384615387</v>
      </c>
      <c r="AQ67" s="83">
        <f t="shared" si="39"/>
        <v>2411</v>
      </c>
      <c r="AR67" s="554" t="s">
        <v>357</v>
      </c>
      <c r="AT67" s="161"/>
      <c r="AU67" s="60">
        <v>0</v>
      </c>
      <c r="AV67" s="60">
        <v>0</v>
      </c>
      <c r="AW67" s="60">
        <v>0</v>
      </c>
      <c r="AX67" s="232">
        <f t="shared" si="40"/>
        <v>0</v>
      </c>
      <c r="AY67" s="60">
        <v>0</v>
      </c>
      <c r="AZ67" s="60">
        <v>0</v>
      </c>
      <c r="BA67" s="60">
        <v>0</v>
      </c>
      <c r="BB67" s="138">
        <f t="shared" si="43"/>
        <v>0</v>
      </c>
      <c r="BC67" s="60">
        <v>0</v>
      </c>
      <c r="BD67" s="60">
        <v>0</v>
      </c>
      <c r="BE67" s="60">
        <v>0</v>
      </c>
      <c r="BF67" s="138">
        <f t="shared" si="44"/>
        <v>0</v>
      </c>
      <c r="BG67" s="60">
        <v>0</v>
      </c>
      <c r="BH67" s="60">
        <v>0</v>
      </c>
      <c r="BI67" s="60">
        <v>0</v>
      </c>
      <c r="BJ67" s="138">
        <f t="shared" si="45"/>
        <v>0</v>
      </c>
      <c r="BK67" s="139">
        <f t="shared" si="46"/>
        <v>0</v>
      </c>
      <c r="BL67" s="425"/>
      <c r="BM67" s="110">
        <v>0</v>
      </c>
      <c r="BN67" s="110">
        <v>0</v>
      </c>
      <c r="BO67" s="110">
        <v>0</v>
      </c>
      <c r="BP67" s="267"/>
      <c r="BQ67" s="71">
        <v>0</v>
      </c>
      <c r="BR67" s="71">
        <v>0</v>
      </c>
      <c r="BS67" s="71">
        <v>0</v>
      </c>
      <c r="BT67" s="267"/>
      <c r="BU67" s="71">
        <v>0</v>
      </c>
      <c r="BV67" s="71">
        <v>0</v>
      </c>
      <c r="BW67" s="71">
        <v>0</v>
      </c>
      <c r="BX67" s="266"/>
      <c r="BY67" s="107">
        <v>0</v>
      </c>
      <c r="BZ67" s="107">
        <v>0</v>
      </c>
      <c r="CA67" s="107">
        <v>0</v>
      </c>
      <c r="CB67" s="581" t="e">
        <f t="shared" si="41"/>
        <v>#DIV/0!</v>
      </c>
      <c r="CC67" s="201">
        <f t="shared" si="42"/>
        <v>0</v>
      </c>
      <c r="CD67" s="138">
        <v>0</v>
      </c>
      <c r="CE67" s="101"/>
      <c r="CF67" s="1452"/>
    </row>
    <row r="68" spans="1:84" ht="54" customHeight="1" thickBot="1">
      <c r="A68" s="133"/>
      <c r="B68" s="190"/>
      <c r="C68" s="191"/>
      <c r="D68" s="191"/>
      <c r="E68" s="1454"/>
      <c r="F68" s="34"/>
      <c r="G68" s="35"/>
      <c r="H68" s="32" t="s">
        <v>173</v>
      </c>
      <c r="I68" s="303">
        <v>117</v>
      </c>
      <c r="J68" s="303">
        <v>200</v>
      </c>
      <c r="K68" s="32" t="s">
        <v>175</v>
      </c>
      <c r="L68" s="54">
        <v>16</v>
      </c>
      <c r="M68" s="54">
        <v>16</v>
      </c>
      <c r="N68" s="54">
        <v>16</v>
      </c>
      <c r="O68" s="54">
        <v>16</v>
      </c>
      <c r="P68" s="54">
        <v>16</v>
      </c>
      <c r="Q68" s="54">
        <v>16</v>
      </c>
      <c r="R68" s="54">
        <v>16</v>
      </c>
      <c r="S68" s="54">
        <v>16</v>
      </c>
      <c r="T68" s="54">
        <v>16</v>
      </c>
      <c r="U68" s="54">
        <v>16</v>
      </c>
      <c r="V68" s="54">
        <v>16</v>
      </c>
      <c r="W68" s="54">
        <v>16</v>
      </c>
      <c r="X68" s="54">
        <f t="shared" si="33"/>
        <v>192</v>
      </c>
      <c r="Y68" s="533">
        <f t="shared" si="34"/>
        <v>0</v>
      </c>
      <c r="Z68" s="543">
        <v>9</v>
      </c>
      <c r="AA68" s="543">
        <v>15</v>
      </c>
      <c r="AB68" s="543">
        <v>6</v>
      </c>
      <c r="AC68" s="104">
        <f t="shared" si="35"/>
        <v>0.625</v>
      </c>
      <c r="AD68" s="543">
        <v>10</v>
      </c>
      <c r="AE68" s="543">
        <v>10</v>
      </c>
      <c r="AF68" s="543">
        <v>6</v>
      </c>
      <c r="AG68" s="302">
        <f t="shared" si="36"/>
        <v>0.5416666666666666</v>
      </c>
      <c r="AH68" s="543">
        <v>11</v>
      </c>
      <c r="AI68" s="543">
        <v>0</v>
      </c>
      <c r="AJ68" s="474">
        <v>6</v>
      </c>
      <c r="AK68" s="262">
        <f t="shared" si="37"/>
        <v>0.3541666666666667</v>
      </c>
      <c r="AL68" s="593"/>
      <c r="AM68" s="82"/>
      <c r="AN68" s="82"/>
      <c r="AO68" s="82"/>
      <c r="AP68" s="231">
        <f t="shared" si="38"/>
        <v>0</v>
      </c>
      <c r="AQ68" s="83">
        <f t="shared" si="39"/>
        <v>73</v>
      </c>
      <c r="AR68" s="554"/>
      <c r="AS68" s="577"/>
      <c r="AT68" s="161"/>
      <c r="AU68" s="60">
        <v>0</v>
      </c>
      <c r="AV68" s="60">
        <v>0</v>
      </c>
      <c r="AW68" s="60">
        <v>0</v>
      </c>
      <c r="AX68" s="232">
        <f t="shared" si="40"/>
        <v>0</v>
      </c>
      <c r="AY68" s="60">
        <v>0</v>
      </c>
      <c r="AZ68" s="60">
        <v>0</v>
      </c>
      <c r="BA68" s="60">
        <v>0</v>
      </c>
      <c r="BB68" s="138">
        <f t="shared" si="43"/>
        <v>0</v>
      </c>
      <c r="BC68" s="60">
        <v>0</v>
      </c>
      <c r="BD68" s="60">
        <v>0</v>
      </c>
      <c r="BE68" s="60">
        <v>0</v>
      </c>
      <c r="BF68" s="138">
        <f t="shared" si="44"/>
        <v>0</v>
      </c>
      <c r="BG68" s="60">
        <v>0</v>
      </c>
      <c r="BH68" s="60">
        <v>0</v>
      </c>
      <c r="BI68" s="60">
        <v>0</v>
      </c>
      <c r="BJ68" s="138">
        <f t="shared" si="45"/>
        <v>0</v>
      </c>
      <c r="BK68" s="139">
        <f t="shared" si="46"/>
        <v>0</v>
      </c>
      <c r="BL68" s="425"/>
      <c r="BM68" s="107">
        <v>0</v>
      </c>
      <c r="BN68" s="107">
        <v>0</v>
      </c>
      <c r="BO68" s="107">
        <v>0</v>
      </c>
      <c r="BP68" s="267"/>
      <c r="BQ68" s="304">
        <v>0</v>
      </c>
      <c r="BR68" s="304">
        <v>0</v>
      </c>
      <c r="BS68" s="304">
        <v>0</v>
      </c>
      <c r="BT68" s="267"/>
      <c r="BU68" s="71">
        <v>0</v>
      </c>
      <c r="BV68" s="71">
        <v>0</v>
      </c>
      <c r="BW68" s="71">
        <v>0</v>
      </c>
      <c r="BX68" s="266"/>
      <c r="BY68" s="107">
        <v>0</v>
      </c>
      <c r="BZ68" s="107">
        <v>0</v>
      </c>
      <c r="CA68" s="107">
        <v>0</v>
      </c>
      <c r="CB68" s="581" t="e">
        <f t="shared" si="41"/>
        <v>#DIV/0!</v>
      </c>
      <c r="CC68" s="201">
        <f t="shared" si="42"/>
        <v>0</v>
      </c>
      <c r="CD68" s="60">
        <v>0</v>
      </c>
      <c r="CE68" s="101"/>
      <c r="CF68" s="105"/>
    </row>
    <row r="69" spans="1:84" ht="54" customHeight="1" thickBot="1">
      <c r="A69" s="133"/>
      <c r="B69" s="190" t="s">
        <v>204</v>
      </c>
      <c r="C69" s="191" t="s">
        <v>243</v>
      </c>
      <c r="D69" s="191" t="s">
        <v>202</v>
      </c>
      <c r="E69" s="550" t="s">
        <v>310</v>
      </c>
      <c r="F69" s="32" t="s">
        <v>358</v>
      </c>
      <c r="G69" s="33" t="s">
        <v>276</v>
      </c>
      <c r="H69" s="32" t="s">
        <v>278</v>
      </c>
      <c r="I69" s="303">
        <v>60</v>
      </c>
      <c r="J69" s="303">
        <v>60</v>
      </c>
      <c r="K69" s="550" t="s">
        <v>277</v>
      </c>
      <c r="L69" s="54">
        <v>0</v>
      </c>
      <c r="M69" s="54">
        <v>8</v>
      </c>
      <c r="N69" s="54">
        <v>2</v>
      </c>
      <c r="O69" s="54">
        <v>3</v>
      </c>
      <c r="P69" s="54">
        <v>3</v>
      </c>
      <c r="Q69" s="54">
        <v>4</v>
      </c>
      <c r="R69" s="54">
        <v>11</v>
      </c>
      <c r="S69" s="54">
        <v>2</v>
      </c>
      <c r="T69" s="54">
        <v>15</v>
      </c>
      <c r="U69" s="54">
        <v>8</v>
      </c>
      <c r="V69" s="54">
        <v>2</v>
      </c>
      <c r="W69" s="54">
        <v>2</v>
      </c>
      <c r="X69" s="54">
        <f t="shared" si="33"/>
        <v>60</v>
      </c>
      <c r="Y69" s="533">
        <f t="shared" si="34"/>
        <v>336922.98</v>
      </c>
      <c r="Z69" s="54">
        <v>0</v>
      </c>
      <c r="AA69" s="54">
        <v>8</v>
      </c>
      <c r="AB69" s="54">
        <v>2</v>
      </c>
      <c r="AC69" s="104">
        <f t="shared" si="35"/>
        <v>1</v>
      </c>
      <c r="AD69" s="54">
        <v>3</v>
      </c>
      <c r="AE69" s="54">
        <v>3</v>
      </c>
      <c r="AF69" s="54">
        <v>4</v>
      </c>
      <c r="AG69" s="302">
        <f t="shared" si="36"/>
        <v>1</v>
      </c>
      <c r="AH69" s="54">
        <v>11</v>
      </c>
      <c r="AI69" s="54">
        <v>2</v>
      </c>
      <c r="AJ69" s="475">
        <v>15</v>
      </c>
      <c r="AK69" s="262">
        <f t="shared" si="37"/>
        <v>1</v>
      </c>
      <c r="AL69" s="593"/>
      <c r="AM69" s="579">
        <v>10</v>
      </c>
      <c r="AN69" s="579">
        <v>10</v>
      </c>
      <c r="AO69" s="579"/>
      <c r="AP69" s="231">
        <f t="shared" si="38"/>
        <v>1.6666666666666667</v>
      </c>
      <c r="AQ69" s="83">
        <f t="shared" si="39"/>
        <v>68</v>
      </c>
      <c r="AR69" s="554" t="s">
        <v>311</v>
      </c>
      <c r="AS69" s="577"/>
      <c r="AT69" s="161"/>
      <c r="AU69" s="60">
        <v>0</v>
      </c>
      <c r="AV69" s="60">
        <v>0</v>
      </c>
      <c r="AW69" s="60">
        <v>0</v>
      </c>
      <c r="AX69" s="232">
        <f t="shared" si="40"/>
        <v>0</v>
      </c>
      <c r="AY69" s="60"/>
      <c r="AZ69" s="60">
        <v>100000</v>
      </c>
      <c r="BA69" s="60"/>
      <c r="BB69" s="138">
        <f t="shared" si="43"/>
        <v>100000</v>
      </c>
      <c r="BC69" s="305">
        <v>103900</v>
      </c>
      <c r="BD69" s="304">
        <v>100000</v>
      </c>
      <c r="BE69" s="305">
        <v>38000</v>
      </c>
      <c r="BF69" s="138">
        <f t="shared" si="44"/>
        <v>241900</v>
      </c>
      <c r="BG69" s="60">
        <v>-4977.02</v>
      </c>
      <c r="BH69" s="60"/>
      <c r="BI69" s="60"/>
      <c r="BJ69" s="138">
        <f t="shared" si="45"/>
        <v>-4977.02</v>
      </c>
      <c r="BK69" s="139">
        <v>336922.98</v>
      </c>
      <c r="BL69" s="425"/>
      <c r="BM69" s="110">
        <v>0</v>
      </c>
      <c r="BN69" s="110">
        <v>0</v>
      </c>
      <c r="BO69" s="110">
        <v>0</v>
      </c>
      <c r="BP69" s="267"/>
      <c r="BQ69" s="71">
        <v>0</v>
      </c>
      <c r="BR69" s="71">
        <v>0</v>
      </c>
      <c r="BS69" s="71">
        <v>0</v>
      </c>
      <c r="BT69" s="267">
        <f>+(BQ69+BR69+BS69)/(AY69+AZ69+BA69)</f>
        <v>0</v>
      </c>
      <c r="BU69" s="306">
        <v>9776.43</v>
      </c>
      <c r="BV69" s="71">
        <f>187206.95-4084.83+3359.41</f>
        <v>186481.53000000003</v>
      </c>
      <c r="BW69" s="86">
        <v>34347.32</v>
      </c>
      <c r="BX69" s="266">
        <f>+(BU69+BV69+BW69)/(BC69+BD69+BE69)</f>
        <v>0.9533083092186855</v>
      </c>
      <c r="BY69" s="107">
        <v>8210.01</v>
      </c>
      <c r="BZ69" s="107">
        <v>53425.19</v>
      </c>
      <c r="CA69" s="107">
        <v>22720.28</v>
      </c>
      <c r="CB69" s="581">
        <f t="shared" si="41"/>
        <v>-16.948993574468258</v>
      </c>
      <c r="CC69" s="201">
        <f t="shared" si="42"/>
        <v>314960.76</v>
      </c>
      <c r="CD69" s="143">
        <f t="shared" si="47"/>
        <v>0.9348153100153632</v>
      </c>
      <c r="CE69" s="101"/>
      <c r="CF69" s="550" t="s">
        <v>312</v>
      </c>
    </row>
    <row r="70" spans="1:84" s="136" customFormat="1" ht="54" customHeight="1" thickBot="1">
      <c r="A70" s="142"/>
      <c r="B70" s="190" t="s">
        <v>199</v>
      </c>
      <c r="C70" s="298" t="s">
        <v>200</v>
      </c>
      <c r="D70" s="298" t="s">
        <v>198</v>
      </c>
      <c r="E70" s="1438" t="s">
        <v>257</v>
      </c>
      <c r="F70" s="1438" t="s">
        <v>256</v>
      </c>
      <c r="G70" s="33" t="s">
        <v>258</v>
      </c>
      <c r="H70" s="1438" t="s">
        <v>262</v>
      </c>
      <c r="I70" s="540">
        <v>2992</v>
      </c>
      <c r="J70" s="54">
        <v>3234</v>
      </c>
      <c r="K70" s="32" t="s">
        <v>315</v>
      </c>
      <c r="L70" s="144">
        <v>270</v>
      </c>
      <c r="M70" s="144">
        <v>230</v>
      </c>
      <c r="N70" s="144">
        <v>295</v>
      </c>
      <c r="O70" s="144">
        <v>295</v>
      </c>
      <c r="P70" s="144">
        <v>290</v>
      </c>
      <c r="Q70" s="144">
        <v>300</v>
      </c>
      <c r="R70" s="144">
        <v>300</v>
      </c>
      <c r="S70" s="144">
        <v>250</v>
      </c>
      <c r="T70" s="144">
        <v>250</v>
      </c>
      <c r="U70" s="144">
        <v>287</v>
      </c>
      <c r="V70" s="145">
        <v>250</v>
      </c>
      <c r="W70" s="145">
        <v>250</v>
      </c>
      <c r="X70" s="54">
        <f>SUM(L70:W70)</f>
        <v>3267</v>
      </c>
      <c r="Y70" s="533">
        <f t="shared" si="34"/>
        <v>2264000</v>
      </c>
      <c r="Z70" s="144">
        <v>266</v>
      </c>
      <c r="AA70" s="144">
        <v>228</v>
      </c>
      <c r="AB70" s="144">
        <v>295</v>
      </c>
      <c r="AC70" s="538">
        <f>(Z70+AA70+AB70)/(+L70+M70+N70)</f>
        <v>0.9924528301886792</v>
      </c>
      <c r="AD70" s="144">
        <v>289</v>
      </c>
      <c r="AE70" s="144">
        <v>289</v>
      </c>
      <c r="AF70" s="144">
        <v>294</v>
      </c>
      <c r="AG70" s="302">
        <f>(+AD70+AE70+AF70)/(+O70+P70+Q70)</f>
        <v>0.9853107344632769</v>
      </c>
      <c r="AH70" s="144">
        <v>297</v>
      </c>
      <c r="AI70" s="144">
        <v>249</v>
      </c>
      <c r="AJ70" s="476">
        <v>240</v>
      </c>
      <c r="AK70" s="262">
        <f>+(AH70+AI70+AJ70)/(+R70+S70+T70)</f>
        <v>0.9825</v>
      </c>
      <c r="AL70" s="593"/>
      <c r="AM70" s="134">
        <v>287</v>
      </c>
      <c r="AN70" s="134">
        <v>237</v>
      </c>
      <c r="AO70" s="134">
        <v>283</v>
      </c>
      <c r="AP70" s="262">
        <f t="shared" si="38"/>
        <v>1.0254129606099112</v>
      </c>
      <c r="AQ70" s="83">
        <f t="shared" si="39"/>
        <v>3254</v>
      </c>
      <c r="AR70" s="554" t="s">
        <v>228</v>
      </c>
      <c r="AS70" s="135"/>
      <c r="AT70" s="263"/>
      <c r="AU70" s="264">
        <v>150000</v>
      </c>
      <c r="AV70" s="264">
        <v>150000</v>
      </c>
      <c r="AW70" s="264">
        <v>209000</v>
      </c>
      <c r="AX70" s="232">
        <f t="shared" si="40"/>
        <v>509000</v>
      </c>
      <c r="AY70" s="265">
        <v>195000</v>
      </c>
      <c r="AZ70" s="265">
        <v>195000</v>
      </c>
      <c r="BA70" s="265">
        <v>195000</v>
      </c>
      <c r="BB70" s="138">
        <f t="shared" si="43"/>
        <v>585000</v>
      </c>
      <c r="BC70" s="265">
        <v>190000</v>
      </c>
      <c r="BD70" s="265">
        <v>210000</v>
      </c>
      <c r="BE70" s="265">
        <v>210000</v>
      </c>
      <c r="BF70" s="138">
        <f t="shared" si="44"/>
        <v>610000</v>
      </c>
      <c r="BG70" s="265">
        <v>180000</v>
      </c>
      <c r="BH70" s="265">
        <v>200000</v>
      </c>
      <c r="BI70" s="265">
        <v>180000</v>
      </c>
      <c r="BJ70" s="138">
        <f t="shared" si="45"/>
        <v>560000</v>
      </c>
      <c r="BK70" s="139">
        <f t="shared" si="46"/>
        <v>2264000</v>
      </c>
      <c r="BL70" s="434"/>
      <c r="BM70" s="264">
        <v>115907.12</v>
      </c>
      <c r="BN70" s="264">
        <v>159642.29</v>
      </c>
      <c r="BO70" s="264">
        <v>176943.25</v>
      </c>
      <c r="BP70" s="267">
        <f>+(BM70+BN70+BO70)/(AU70+AV70+AW70)</f>
        <v>0.8889836149312378</v>
      </c>
      <c r="BQ70" s="265">
        <v>169059.23</v>
      </c>
      <c r="BR70" s="265">
        <v>185552.18</v>
      </c>
      <c r="BS70" s="265">
        <v>214706.96</v>
      </c>
      <c r="BT70" s="267">
        <f>+(BQ70+BR70+BS70)/(AY70+AZ70+BA70)</f>
        <v>0.9731937948717949</v>
      </c>
      <c r="BU70" s="265">
        <f>171378.87</f>
        <v>171378.87</v>
      </c>
      <c r="BV70" s="265">
        <v>185753.7</v>
      </c>
      <c r="BW70" s="265">
        <v>168873.38</v>
      </c>
      <c r="BX70" s="266">
        <f>+(BU70+BV70+BW70)/(BC70+BD70+BE70)</f>
        <v>0.8623048360655737</v>
      </c>
      <c r="BY70" s="264">
        <v>181924.28</v>
      </c>
      <c r="BZ70" s="264">
        <v>190588.6</v>
      </c>
      <c r="CA70" s="264">
        <f>311872.59+0.32</f>
        <v>311872.91000000003</v>
      </c>
      <c r="CB70" s="581">
        <f t="shared" si="41"/>
        <v>1.2221174821428573</v>
      </c>
      <c r="CC70" s="201">
        <f t="shared" si="42"/>
        <v>2232202.77</v>
      </c>
      <c r="CD70" s="143">
        <f t="shared" si="47"/>
        <v>0.9859552871024735</v>
      </c>
      <c r="CE70" s="549"/>
      <c r="CF70" s="135"/>
    </row>
    <row r="71" spans="1:84" s="136" customFormat="1" ht="54" customHeight="1" thickBot="1">
      <c r="A71" s="142"/>
      <c r="B71" s="190"/>
      <c r="C71" s="298"/>
      <c r="D71" s="298"/>
      <c r="E71" s="1438"/>
      <c r="F71" s="1438"/>
      <c r="G71" s="33" t="s">
        <v>259</v>
      </c>
      <c r="H71" s="1438"/>
      <c r="I71" s="54">
        <v>2001</v>
      </c>
      <c r="J71" s="54">
        <v>1766</v>
      </c>
      <c r="K71" s="32" t="s">
        <v>315</v>
      </c>
      <c r="L71" s="144">
        <v>160</v>
      </c>
      <c r="M71" s="144">
        <v>160</v>
      </c>
      <c r="N71" s="144">
        <v>138</v>
      </c>
      <c r="O71" s="144">
        <v>145</v>
      </c>
      <c r="P71" s="144">
        <v>160</v>
      </c>
      <c r="Q71" s="144">
        <v>150</v>
      </c>
      <c r="R71" s="144">
        <v>150</v>
      </c>
      <c r="S71" s="144">
        <v>150</v>
      </c>
      <c r="T71" s="144">
        <v>145</v>
      </c>
      <c r="U71" s="54">
        <v>161</v>
      </c>
      <c r="V71" s="54">
        <v>140</v>
      </c>
      <c r="W71" s="54">
        <v>160</v>
      </c>
      <c r="X71" s="54">
        <f t="shared" si="33"/>
        <v>1819</v>
      </c>
      <c r="Y71" s="533">
        <f t="shared" si="34"/>
        <v>2435000</v>
      </c>
      <c r="Z71" s="144">
        <v>153</v>
      </c>
      <c r="AA71" s="144">
        <v>156</v>
      </c>
      <c r="AB71" s="144">
        <v>138</v>
      </c>
      <c r="AC71" s="538">
        <f>(Z71+AA71+AB71)/(+L71+M71+N71)</f>
        <v>0.9759825327510917</v>
      </c>
      <c r="AD71" s="144">
        <v>144</v>
      </c>
      <c r="AE71" s="144">
        <v>156</v>
      </c>
      <c r="AF71" s="144">
        <v>145</v>
      </c>
      <c r="AG71" s="302">
        <f>(+AD71+AE71+AF71)/(+O71+P71+Q71)</f>
        <v>0.978021978021978</v>
      </c>
      <c r="AH71" s="144">
        <v>142</v>
      </c>
      <c r="AI71" s="144">
        <v>129</v>
      </c>
      <c r="AJ71" s="476">
        <v>142</v>
      </c>
      <c r="AK71" s="262">
        <f>+(AH71+AI71+AJ71)/(+R71+S71+T71)</f>
        <v>0.9280898876404494</v>
      </c>
      <c r="AL71" s="593"/>
      <c r="AM71" s="134">
        <v>161</v>
      </c>
      <c r="AN71" s="134">
        <v>136</v>
      </c>
      <c r="AO71" s="134">
        <v>163</v>
      </c>
      <c r="AP71" s="262">
        <f t="shared" si="38"/>
        <v>0.9978308026030369</v>
      </c>
      <c r="AQ71" s="83">
        <f t="shared" si="39"/>
        <v>1765</v>
      </c>
      <c r="AR71" s="554"/>
      <c r="AS71" s="135"/>
      <c r="AT71" s="263"/>
      <c r="AU71" s="264">
        <v>160000</v>
      </c>
      <c r="AV71" s="264">
        <v>160000</v>
      </c>
      <c r="AW71" s="264">
        <v>265000</v>
      </c>
      <c r="AX71" s="232">
        <f t="shared" si="40"/>
        <v>585000</v>
      </c>
      <c r="AY71" s="265">
        <v>170000</v>
      </c>
      <c r="AZ71" s="265">
        <v>200000</v>
      </c>
      <c r="BA71" s="265">
        <v>300000</v>
      </c>
      <c r="BB71" s="138">
        <f t="shared" si="43"/>
        <v>670000</v>
      </c>
      <c r="BC71" s="265">
        <v>200000</v>
      </c>
      <c r="BD71" s="265">
        <v>200000</v>
      </c>
      <c r="BE71" s="265">
        <v>200000</v>
      </c>
      <c r="BF71" s="138">
        <f t="shared" si="44"/>
        <v>600000</v>
      </c>
      <c r="BG71" s="265">
        <v>200000</v>
      </c>
      <c r="BH71" s="265">
        <v>200000</v>
      </c>
      <c r="BI71" s="265">
        <v>180000</v>
      </c>
      <c r="BJ71" s="138">
        <f t="shared" si="45"/>
        <v>580000</v>
      </c>
      <c r="BK71" s="139">
        <f t="shared" si="46"/>
        <v>2435000</v>
      </c>
      <c r="BL71" s="434"/>
      <c r="BM71" s="264">
        <v>117141.45</v>
      </c>
      <c r="BN71" s="264">
        <v>159615.65</v>
      </c>
      <c r="BO71" s="264">
        <v>207750.96</v>
      </c>
      <c r="BP71" s="267">
        <f>+(BM71+BN71+BO71)/(AU71+AV71+AW71)</f>
        <v>0.8282189059829059</v>
      </c>
      <c r="BQ71" s="265">
        <v>188625.1</v>
      </c>
      <c r="BR71" s="265">
        <v>240594.55</v>
      </c>
      <c r="BS71" s="265">
        <f>293381.63+49.87</f>
        <v>293431.5</v>
      </c>
      <c r="BT71" s="267">
        <f>+(BQ71+BR71+BS71)/(AY71+AZ71+BA71)</f>
        <v>1.0785838059701494</v>
      </c>
      <c r="BU71" s="265">
        <v>199352.28</v>
      </c>
      <c r="BV71" s="265">
        <v>177321.49</v>
      </c>
      <c r="BW71" s="265">
        <v>163429.66</v>
      </c>
      <c r="BX71" s="266">
        <f>+(BU71+BV71+BW71)/(BC71+BD71+BE71)</f>
        <v>0.9001723833333334</v>
      </c>
      <c r="BY71" s="264">
        <v>179566.01</v>
      </c>
      <c r="BZ71" s="264">
        <f>197304.06+0.02</f>
        <v>197304.08</v>
      </c>
      <c r="CA71" s="264">
        <v>300214.7</v>
      </c>
      <c r="CB71" s="581">
        <f t="shared" si="41"/>
        <v>1.1673875689655173</v>
      </c>
      <c r="CC71" s="201">
        <f t="shared" si="42"/>
        <v>2424347.43</v>
      </c>
      <c r="CD71" s="143">
        <f t="shared" si="47"/>
        <v>0.9956252279260781</v>
      </c>
      <c r="CE71" s="549"/>
      <c r="CF71" s="135"/>
    </row>
    <row r="72" spans="1:84" ht="54" customHeight="1" thickBot="1">
      <c r="A72" s="142"/>
      <c r="B72" s="190" t="s">
        <v>199</v>
      </c>
      <c r="C72" s="191" t="s">
        <v>200</v>
      </c>
      <c r="D72" s="191" t="s">
        <v>198</v>
      </c>
      <c r="E72" s="32" t="s">
        <v>233</v>
      </c>
      <c r="F72" s="32" t="s">
        <v>229</v>
      </c>
      <c r="G72" s="35" t="s">
        <v>227</v>
      </c>
      <c r="H72" s="32" t="s">
        <v>230</v>
      </c>
      <c r="I72" s="307">
        <v>95.3</v>
      </c>
      <c r="J72" s="303">
        <v>95</v>
      </c>
      <c r="K72" s="32" t="s">
        <v>232</v>
      </c>
      <c r="L72" s="54">
        <v>95</v>
      </c>
      <c r="M72" s="54">
        <v>95</v>
      </c>
      <c r="N72" s="54">
        <v>95</v>
      </c>
      <c r="O72" s="54">
        <v>95</v>
      </c>
      <c r="P72" s="54">
        <v>95</v>
      </c>
      <c r="Q72" s="54">
        <v>95</v>
      </c>
      <c r="R72" s="54">
        <v>95</v>
      </c>
      <c r="S72" s="54">
        <v>95</v>
      </c>
      <c r="T72" s="54">
        <v>95</v>
      </c>
      <c r="U72" s="54">
        <v>95</v>
      </c>
      <c r="V72" s="54">
        <v>95</v>
      </c>
      <c r="W72" s="54">
        <v>95</v>
      </c>
      <c r="X72" s="54">
        <f>SUM(L72:W72)/12</f>
        <v>95</v>
      </c>
      <c r="Y72" s="195"/>
      <c r="Z72" s="543">
        <v>93.8</v>
      </c>
      <c r="AA72" s="543">
        <v>92.6</v>
      </c>
      <c r="AB72" s="543">
        <v>93.9</v>
      </c>
      <c r="AC72" s="104">
        <f>(Z72+AA72+AB72)/(+L72+M72+N72)</f>
        <v>0.9835087719298244</v>
      </c>
      <c r="AD72" s="543">
        <v>97.4</v>
      </c>
      <c r="AE72" s="543">
        <v>97.3</v>
      </c>
      <c r="AF72" s="543">
        <v>96.7</v>
      </c>
      <c r="AG72" s="541">
        <f>(+AD72+AE72+AF72)/(+O72+P72+Q72)</f>
        <v>1.0224561403508772</v>
      </c>
      <c r="AH72" s="543">
        <v>98.6</v>
      </c>
      <c r="AI72" s="543">
        <v>93.5</v>
      </c>
      <c r="AJ72" s="474">
        <v>94.3</v>
      </c>
      <c r="AK72" s="542">
        <f>+(AH72+AI72+AJ72)/(+R72+S72+T72)</f>
        <v>1.0049122807017543</v>
      </c>
      <c r="AL72" s="597"/>
      <c r="AM72" s="543">
        <v>96.6</v>
      </c>
      <c r="AN72" s="82">
        <v>99.6</v>
      </c>
      <c r="AO72" s="82">
        <v>93.5</v>
      </c>
      <c r="AP72" s="231">
        <f t="shared" si="38"/>
        <v>1.0164912280701754</v>
      </c>
      <c r="AQ72" s="83">
        <f>(+AO72+AN72+AM72+AJ72+AI72+AH72+AF72+AE72+AD72+AB72+AA72+Z72)/12</f>
        <v>95.64999999999999</v>
      </c>
      <c r="AR72" s="554" t="s">
        <v>363</v>
      </c>
      <c r="AS72" s="543" t="s">
        <v>362</v>
      </c>
      <c r="AT72" s="161"/>
      <c r="AU72" s="60">
        <v>0</v>
      </c>
      <c r="AV72" s="60">
        <v>0</v>
      </c>
      <c r="AW72" s="60">
        <v>0</v>
      </c>
      <c r="AX72" s="232">
        <f t="shared" si="40"/>
        <v>0</v>
      </c>
      <c r="AY72" s="60">
        <v>0</v>
      </c>
      <c r="AZ72" s="60">
        <v>0</v>
      </c>
      <c r="BA72" s="60">
        <v>0</v>
      </c>
      <c r="BB72" s="138">
        <f t="shared" si="43"/>
        <v>0</v>
      </c>
      <c r="BC72" s="60">
        <v>0</v>
      </c>
      <c r="BD72" s="60">
        <v>0</v>
      </c>
      <c r="BE72" s="60">
        <v>0</v>
      </c>
      <c r="BF72" s="138">
        <f t="shared" si="44"/>
        <v>0</v>
      </c>
      <c r="BG72" s="60">
        <v>0</v>
      </c>
      <c r="BH72" s="60">
        <v>0</v>
      </c>
      <c r="BI72" s="60">
        <v>0</v>
      </c>
      <c r="BJ72" s="138">
        <f t="shared" si="45"/>
        <v>0</v>
      </c>
      <c r="BK72" s="139">
        <f t="shared" si="46"/>
        <v>0</v>
      </c>
      <c r="BL72" s="425"/>
      <c r="BM72" s="60">
        <v>0</v>
      </c>
      <c r="BN72" s="60">
        <v>0</v>
      </c>
      <c r="BO72" s="60">
        <v>0</v>
      </c>
      <c r="BP72" s="267"/>
      <c r="BQ72" s="60">
        <v>0</v>
      </c>
      <c r="BR72" s="60">
        <v>0</v>
      </c>
      <c r="BS72" s="60">
        <v>0</v>
      </c>
      <c r="BT72" s="267"/>
      <c r="BU72" s="60">
        <v>0</v>
      </c>
      <c r="BV72" s="60">
        <v>0</v>
      </c>
      <c r="BW72" s="60">
        <v>0</v>
      </c>
      <c r="BX72" s="266"/>
      <c r="BY72" s="107">
        <v>0</v>
      </c>
      <c r="BZ72" s="107">
        <v>0</v>
      </c>
      <c r="CA72" s="107">
        <v>0</v>
      </c>
      <c r="CB72" s="581" t="e">
        <f t="shared" si="41"/>
        <v>#DIV/0!</v>
      </c>
      <c r="CC72" s="201">
        <f t="shared" si="42"/>
        <v>0</v>
      </c>
      <c r="CD72" s="60">
        <v>0</v>
      </c>
      <c r="CE72" s="101"/>
      <c r="CF72" s="550" t="s">
        <v>260</v>
      </c>
    </row>
    <row r="73" spans="1:84" ht="54" customHeight="1" thickBot="1">
      <c r="A73" s="142"/>
      <c r="B73" s="190" t="s">
        <v>273</v>
      </c>
      <c r="C73" s="191" t="s">
        <v>200</v>
      </c>
      <c r="D73" s="191" t="s">
        <v>198</v>
      </c>
      <c r="E73" s="1438" t="s">
        <v>270</v>
      </c>
      <c r="F73" s="1438" t="s">
        <v>274</v>
      </c>
      <c r="G73" s="1320" t="s">
        <v>271</v>
      </c>
      <c r="H73" s="1438" t="s">
        <v>272</v>
      </c>
      <c r="I73" s="1450">
        <v>4000</v>
      </c>
      <c r="J73" s="1448">
        <v>4152</v>
      </c>
      <c r="K73" s="1438" t="s">
        <v>275</v>
      </c>
      <c r="L73" s="1448">
        <v>446</v>
      </c>
      <c r="M73" s="1448">
        <v>420</v>
      </c>
      <c r="N73" s="1448">
        <v>414</v>
      </c>
      <c r="O73" s="1448">
        <v>361</v>
      </c>
      <c r="P73" s="1448">
        <v>424</v>
      </c>
      <c r="Q73" s="1448">
        <v>263</v>
      </c>
      <c r="R73" s="1450">
        <v>336</v>
      </c>
      <c r="S73" s="1450">
        <v>272</v>
      </c>
      <c r="T73" s="1450">
        <v>306</v>
      </c>
      <c r="U73" s="1446">
        <v>316</v>
      </c>
      <c r="V73" s="1446">
        <v>297</v>
      </c>
      <c r="W73" s="1446">
        <v>297</v>
      </c>
      <c r="X73" s="1448">
        <f>SUM(L73:W74)</f>
        <v>4152</v>
      </c>
      <c r="Y73" s="533">
        <f>+BK73</f>
        <v>158100</v>
      </c>
      <c r="Z73" s="1444">
        <v>446</v>
      </c>
      <c r="AA73" s="1444">
        <v>420</v>
      </c>
      <c r="AB73" s="1444">
        <v>414</v>
      </c>
      <c r="AC73" s="1445">
        <f>+(Z73+AA73+AB73)/(L73+M73+N73)</f>
        <v>1</v>
      </c>
      <c r="AD73" s="1441">
        <v>361</v>
      </c>
      <c r="AE73" s="1441">
        <v>424</v>
      </c>
      <c r="AF73" s="1441">
        <v>263</v>
      </c>
      <c r="AG73" s="1445">
        <f>(AF73++AD73+AE73)/(+O73+P73+Q73)</f>
        <v>1</v>
      </c>
      <c r="AH73" s="1441">
        <v>336</v>
      </c>
      <c r="AI73" s="1441">
        <v>272</v>
      </c>
      <c r="AJ73" s="1442">
        <v>306</v>
      </c>
      <c r="AK73" s="1443">
        <f>+(AJ73+AI73+AH73)/(+R73+S73+T73)</f>
        <v>1</v>
      </c>
      <c r="AL73" s="597"/>
      <c r="AM73" s="1439">
        <v>316</v>
      </c>
      <c r="AN73" s="1439">
        <v>292</v>
      </c>
      <c r="AO73" s="1439">
        <v>240</v>
      </c>
      <c r="AP73" s="1404"/>
      <c r="AQ73" s="83">
        <f t="shared" si="39"/>
        <v>4090</v>
      </c>
      <c r="AR73" s="1440" t="s">
        <v>228</v>
      </c>
      <c r="AS73" s="1439"/>
      <c r="AT73" s="161"/>
      <c r="AU73" s="60">
        <v>7100</v>
      </c>
      <c r="AV73" s="60">
        <v>16000</v>
      </c>
      <c r="AW73" s="60">
        <v>10000</v>
      </c>
      <c r="AX73" s="232">
        <f t="shared" si="40"/>
        <v>33100</v>
      </c>
      <c r="AY73" s="60">
        <v>15000</v>
      </c>
      <c r="AZ73" s="60">
        <v>10000</v>
      </c>
      <c r="BA73" s="60">
        <v>10000</v>
      </c>
      <c r="BB73" s="138">
        <f t="shared" si="43"/>
        <v>35000</v>
      </c>
      <c r="BC73" s="60">
        <v>10000</v>
      </c>
      <c r="BD73" s="60">
        <v>10000</v>
      </c>
      <c r="BE73" s="60">
        <v>25000</v>
      </c>
      <c r="BF73" s="138">
        <f t="shared" si="44"/>
        <v>45000</v>
      </c>
      <c r="BG73" s="60">
        <v>15000</v>
      </c>
      <c r="BH73" s="60">
        <v>15000</v>
      </c>
      <c r="BI73" s="60">
        <v>15000</v>
      </c>
      <c r="BJ73" s="138">
        <f t="shared" si="45"/>
        <v>45000</v>
      </c>
      <c r="BK73" s="139">
        <f t="shared" si="46"/>
        <v>158100</v>
      </c>
      <c r="BL73" s="425"/>
      <c r="BM73" s="110">
        <v>7006.75</v>
      </c>
      <c r="BN73" s="110">
        <v>15268.98</v>
      </c>
      <c r="BO73" s="110">
        <v>9182.23</v>
      </c>
      <c r="BP73" s="267">
        <f>+(BM73+BN73+BO73)/(AU73+AV73+AW73)</f>
        <v>0.9503915407854985</v>
      </c>
      <c r="BQ73" s="71">
        <v>14824.01</v>
      </c>
      <c r="BR73" s="71">
        <v>8047.69</v>
      </c>
      <c r="BS73" s="71">
        <v>8348.49</v>
      </c>
      <c r="BT73" s="267">
        <f>+(BQ73+BR73+BS73)/(AY73+AZ73+BA73)</f>
        <v>0.8920054285714286</v>
      </c>
      <c r="BU73" s="71">
        <v>7443.91</v>
      </c>
      <c r="BV73" s="71">
        <v>13261.93</v>
      </c>
      <c r="BW73" s="71">
        <v>23718.31</v>
      </c>
      <c r="BX73" s="266">
        <f>+(BU73+BV73+BW73)/(BC73+BD73+BE73)</f>
        <v>0.9872033333333333</v>
      </c>
      <c r="BY73" s="107">
        <v>7867.89</v>
      </c>
      <c r="BZ73" s="107">
        <v>9077.66</v>
      </c>
      <c r="CA73" s="107">
        <v>29360.1</v>
      </c>
      <c r="CB73" s="581">
        <f t="shared" si="41"/>
        <v>1.0290144444444442</v>
      </c>
      <c r="CC73" s="201">
        <f t="shared" si="42"/>
        <v>153407.94999999998</v>
      </c>
      <c r="CD73" s="143">
        <f>+CC73/BK73</f>
        <v>0.9703222643896267</v>
      </c>
      <c r="CE73" s="101"/>
      <c r="CF73" s="550"/>
    </row>
    <row r="74" spans="1:84" ht="54" customHeight="1" thickBot="1">
      <c r="A74" s="142"/>
      <c r="B74" s="190" t="s">
        <v>268</v>
      </c>
      <c r="C74" s="191" t="s">
        <v>269</v>
      </c>
      <c r="D74" s="191" t="s">
        <v>202</v>
      </c>
      <c r="E74" s="1438"/>
      <c r="F74" s="1438"/>
      <c r="G74" s="1320"/>
      <c r="H74" s="1438"/>
      <c r="I74" s="1450"/>
      <c r="J74" s="1448"/>
      <c r="K74" s="1438"/>
      <c r="L74" s="1449"/>
      <c r="M74" s="1449"/>
      <c r="N74" s="1449"/>
      <c r="O74" s="1449"/>
      <c r="P74" s="1449"/>
      <c r="Q74" s="1449"/>
      <c r="R74" s="1451"/>
      <c r="S74" s="1451"/>
      <c r="T74" s="1451"/>
      <c r="U74" s="1447"/>
      <c r="V74" s="1447"/>
      <c r="W74" s="1447"/>
      <c r="X74" s="1448"/>
      <c r="Y74" s="533">
        <f>+BK74</f>
        <v>10041.99</v>
      </c>
      <c r="Z74" s="1444"/>
      <c r="AA74" s="1444"/>
      <c r="AB74" s="1444"/>
      <c r="AC74" s="1445"/>
      <c r="AD74" s="1441"/>
      <c r="AE74" s="1441"/>
      <c r="AF74" s="1441"/>
      <c r="AG74" s="1445"/>
      <c r="AH74" s="1441"/>
      <c r="AI74" s="1441"/>
      <c r="AJ74" s="1442"/>
      <c r="AK74" s="1443"/>
      <c r="AL74" s="597"/>
      <c r="AM74" s="1439"/>
      <c r="AN74" s="1439"/>
      <c r="AO74" s="1439"/>
      <c r="AP74" s="1404"/>
      <c r="AQ74" s="83">
        <f t="shared" si="39"/>
        <v>0</v>
      </c>
      <c r="AR74" s="1440"/>
      <c r="AS74" s="1439"/>
      <c r="AT74" s="161"/>
      <c r="AU74" s="60">
        <v>0</v>
      </c>
      <c r="AV74" s="60">
        <v>0</v>
      </c>
      <c r="AW74" s="60">
        <v>0</v>
      </c>
      <c r="AX74" s="232">
        <f t="shared" si="40"/>
        <v>0</v>
      </c>
      <c r="AY74" s="60">
        <v>0</v>
      </c>
      <c r="AZ74" s="60">
        <v>0</v>
      </c>
      <c r="BA74" s="60">
        <v>1450</v>
      </c>
      <c r="BB74" s="138">
        <f t="shared" si="43"/>
        <v>1450</v>
      </c>
      <c r="BC74" s="60">
        <v>0</v>
      </c>
      <c r="BD74" s="60">
        <f>544.8+8047.2</f>
        <v>8592</v>
      </c>
      <c r="BE74" s="60">
        <v>0</v>
      </c>
      <c r="BF74" s="138">
        <f t="shared" si="44"/>
        <v>8592</v>
      </c>
      <c r="BG74" s="60">
        <v>-0.01</v>
      </c>
      <c r="BH74" s="60">
        <v>0</v>
      </c>
      <c r="BI74" s="60">
        <v>0</v>
      </c>
      <c r="BJ74" s="138">
        <f t="shared" si="45"/>
        <v>-0.01</v>
      </c>
      <c r="BK74" s="611">
        <f t="shared" si="46"/>
        <v>10041.99</v>
      </c>
      <c r="BL74" s="425"/>
      <c r="BM74" s="107">
        <v>0</v>
      </c>
      <c r="BN74" s="107">
        <v>0</v>
      </c>
      <c r="BO74" s="107">
        <v>0</v>
      </c>
      <c r="BP74" s="267"/>
      <c r="BQ74" s="107">
        <v>0</v>
      </c>
      <c r="BR74" s="107">
        <v>0</v>
      </c>
      <c r="BS74" s="71">
        <v>1449.99</v>
      </c>
      <c r="BT74" s="267">
        <f>+(BQ74+BR74+BS74)/(AY74+AZ74+BA74)</f>
        <v>0.9999931034482759</v>
      </c>
      <c r="BU74" s="71">
        <f>536.48+6227.2</f>
        <v>6763.68</v>
      </c>
      <c r="BV74" s="71">
        <v>1820</v>
      </c>
      <c r="BW74" s="71">
        <v>0</v>
      </c>
      <c r="BX74" s="266">
        <f>+(BU74+BV74+BW74)/(BC74+BD74+BE74)</f>
        <v>0.9990316573556798</v>
      </c>
      <c r="BY74" s="107">
        <v>0</v>
      </c>
      <c r="BZ74" s="107">
        <v>0</v>
      </c>
      <c r="CA74" s="107">
        <v>0</v>
      </c>
      <c r="CB74" s="581">
        <f t="shared" si="41"/>
        <v>0</v>
      </c>
      <c r="CC74" s="201">
        <f t="shared" si="42"/>
        <v>10033.67</v>
      </c>
      <c r="CD74" s="143">
        <f t="shared" si="47"/>
        <v>0.9991714789598476</v>
      </c>
      <c r="CE74" s="101"/>
      <c r="CF74" s="550" t="s">
        <v>307</v>
      </c>
    </row>
    <row r="75" spans="1:84" ht="54" customHeight="1" thickBot="1">
      <c r="A75" s="142"/>
      <c r="B75" s="190" t="s">
        <v>199</v>
      </c>
      <c r="C75" s="191" t="s">
        <v>200</v>
      </c>
      <c r="D75" s="191" t="s">
        <v>198</v>
      </c>
      <c r="E75" s="1438" t="s">
        <v>234</v>
      </c>
      <c r="F75" s="32" t="s">
        <v>235</v>
      </c>
      <c r="G75" s="35" t="s">
        <v>239</v>
      </c>
      <c r="H75" s="32" t="s">
        <v>240</v>
      </c>
      <c r="I75" s="303">
        <v>241932</v>
      </c>
      <c r="J75" s="308">
        <f>+I75*15%+I75</f>
        <v>278221.8</v>
      </c>
      <c r="K75" s="32" t="s">
        <v>236</v>
      </c>
      <c r="L75" s="54">
        <v>20161</v>
      </c>
      <c r="M75" s="54">
        <v>20161</v>
      </c>
      <c r="N75" s="54">
        <v>20161</v>
      </c>
      <c r="O75" s="54">
        <v>20161</v>
      </c>
      <c r="P75" s="54">
        <v>20161</v>
      </c>
      <c r="Q75" s="54">
        <v>20161</v>
      </c>
      <c r="R75" s="54">
        <v>20161</v>
      </c>
      <c r="S75" s="54">
        <v>20161</v>
      </c>
      <c r="T75" s="54">
        <v>20161</v>
      </c>
      <c r="U75" s="54">
        <v>20161</v>
      </c>
      <c r="V75" s="54">
        <v>20161</v>
      </c>
      <c r="W75" s="54">
        <v>20161</v>
      </c>
      <c r="X75" s="54">
        <f>SUM(L75:W75)</f>
        <v>241932</v>
      </c>
      <c r="Y75" s="533">
        <f>+BK75</f>
        <v>0</v>
      </c>
      <c r="Z75" s="543">
        <v>22697</v>
      </c>
      <c r="AA75" s="543">
        <v>17597</v>
      </c>
      <c r="AB75" s="543">
        <v>20277</v>
      </c>
      <c r="AC75" s="104">
        <f>(Z75+AA75+AB75)/(+L75+M75+N75)</f>
        <v>1.0014549542846751</v>
      </c>
      <c r="AD75" s="543">
        <v>20388</v>
      </c>
      <c r="AE75" s="543">
        <v>22011</v>
      </c>
      <c r="AF75" s="543">
        <v>20133</v>
      </c>
      <c r="AG75" s="541">
        <f>(+AD75+AE75+AF75)/(+O75+P75+Q75)</f>
        <v>1.0338772878329447</v>
      </c>
      <c r="AH75" s="543">
        <v>21412</v>
      </c>
      <c r="AI75" s="543">
        <v>18669</v>
      </c>
      <c r="AJ75" s="474">
        <v>20707</v>
      </c>
      <c r="AK75" s="542">
        <f>+(AH75+AI75+AJ75)/(+R75+S75+T75)</f>
        <v>1.0050427392821124</v>
      </c>
      <c r="AL75" s="597"/>
      <c r="AM75" s="543">
        <v>21232</v>
      </c>
      <c r="AN75" s="82">
        <v>20770</v>
      </c>
      <c r="AO75" s="82">
        <v>20393</v>
      </c>
      <c r="AP75" s="231">
        <f t="shared" si="38"/>
        <v>1.0316121885488485</v>
      </c>
      <c r="AQ75" s="83">
        <f t="shared" si="39"/>
        <v>246286</v>
      </c>
      <c r="AR75" s="554" t="s">
        <v>241</v>
      </c>
      <c r="AS75" s="103"/>
      <c r="AT75" s="161"/>
      <c r="AU75" s="60">
        <v>0</v>
      </c>
      <c r="AV75" s="60">
        <v>0</v>
      </c>
      <c r="AW75" s="60">
        <v>0</v>
      </c>
      <c r="AX75" s="232">
        <f t="shared" si="40"/>
        <v>0</v>
      </c>
      <c r="AY75" s="60">
        <v>0</v>
      </c>
      <c r="AZ75" s="60">
        <v>0</v>
      </c>
      <c r="BA75" s="60">
        <v>0</v>
      </c>
      <c r="BB75" s="138">
        <f t="shared" si="43"/>
        <v>0</v>
      </c>
      <c r="BC75" s="60">
        <v>0</v>
      </c>
      <c r="BD75" s="60">
        <v>0</v>
      </c>
      <c r="BE75" s="60">
        <v>0</v>
      </c>
      <c r="BF75" s="138">
        <f t="shared" si="44"/>
        <v>0</v>
      </c>
      <c r="BG75" s="60">
        <v>0</v>
      </c>
      <c r="BH75" s="60">
        <v>0</v>
      </c>
      <c r="BI75" s="60">
        <v>0</v>
      </c>
      <c r="BJ75" s="138">
        <f t="shared" si="45"/>
        <v>0</v>
      </c>
      <c r="BK75" s="139">
        <f t="shared" si="46"/>
        <v>0</v>
      </c>
      <c r="BL75" s="425"/>
      <c r="BM75" s="107">
        <v>0</v>
      </c>
      <c r="BN75" s="107">
        <v>0</v>
      </c>
      <c r="BO75" s="107">
        <v>0</v>
      </c>
      <c r="BP75" s="267"/>
      <c r="BQ75" s="107">
        <v>0</v>
      </c>
      <c r="BR75" s="107">
        <v>0</v>
      </c>
      <c r="BS75" s="107">
        <v>0</v>
      </c>
      <c r="BT75" s="267"/>
      <c r="BU75" s="107">
        <v>0</v>
      </c>
      <c r="BV75" s="107">
        <v>0</v>
      </c>
      <c r="BW75" s="107">
        <v>0</v>
      </c>
      <c r="BX75" s="266"/>
      <c r="BY75" s="107">
        <v>0</v>
      </c>
      <c r="BZ75" s="107">
        <v>0</v>
      </c>
      <c r="CA75" s="107">
        <v>0</v>
      </c>
      <c r="CB75" s="581" t="e">
        <f t="shared" si="41"/>
        <v>#DIV/0!</v>
      </c>
      <c r="CC75" s="201">
        <f t="shared" si="42"/>
        <v>0</v>
      </c>
      <c r="CD75" s="60">
        <v>0</v>
      </c>
      <c r="CE75" s="101"/>
      <c r="CF75" s="550" t="s">
        <v>302</v>
      </c>
    </row>
    <row r="76" spans="1:84" ht="65.25" customHeight="1" thickBot="1">
      <c r="A76" s="142"/>
      <c r="B76" s="190" t="s">
        <v>199</v>
      </c>
      <c r="C76" s="191" t="s">
        <v>200</v>
      </c>
      <c r="D76" s="191" t="s">
        <v>198</v>
      </c>
      <c r="E76" s="1438"/>
      <c r="F76" s="32" t="s">
        <v>238</v>
      </c>
      <c r="G76" s="35" t="s">
        <v>239</v>
      </c>
      <c r="H76" s="32" t="s">
        <v>240</v>
      </c>
      <c r="I76" s="303">
        <v>171348</v>
      </c>
      <c r="J76" s="308">
        <f>+I76*15%+I76</f>
        <v>197050.2</v>
      </c>
      <c r="K76" s="32" t="s">
        <v>237</v>
      </c>
      <c r="L76" s="54">
        <v>14279</v>
      </c>
      <c r="M76" s="54">
        <v>14279</v>
      </c>
      <c r="N76" s="54">
        <v>14279</v>
      </c>
      <c r="O76" s="54">
        <v>14279</v>
      </c>
      <c r="P76" s="54">
        <v>14279</v>
      </c>
      <c r="Q76" s="54">
        <v>14279</v>
      </c>
      <c r="R76" s="54">
        <v>14279</v>
      </c>
      <c r="S76" s="54">
        <v>14279</v>
      </c>
      <c r="T76" s="54">
        <v>14279</v>
      </c>
      <c r="U76" s="54">
        <v>14279</v>
      </c>
      <c r="V76" s="54">
        <v>14279</v>
      </c>
      <c r="W76" s="54">
        <v>14279</v>
      </c>
      <c r="X76" s="54">
        <f>SUM(L76:W76)</f>
        <v>171348</v>
      </c>
      <c r="Y76" s="533">
        <f>+BK76</f>
        <v>0</v>
      </c>
      <c r="Z76" s="543">
        <v>14780</v>
      </c>
      <c r="AA76" s="543">
        <v>11730</v>
      </c>
      <c r="AB76" s="543">
        <v>12821</v>
      </c>
      <c r="AC76" s="104">
        <f>(Z76+AA76+AB76)/(+L76+M76+N76)</f>
        <v>0.91815486612041</v>
      </c>
      <c r="AD76" s="543">
        <v>12964</v>
      </c>
      <c r="AE76" s="543">
        <v>13037</v>
      </c>
      <c r="AF76" s="543">
        <v>12668</v>
      </c>
      <c r="AG76" s="541">
        <f>(+AD76+AE76+AF76)/(+O76+P76+Q76)</f>
        <v>0.9027009361066368</v>
      </c>
      <c r="AH76" s="543">
        <v>12967</v>
      </c>
      <c r="AI76" s="543">
        <v>11768</v>
      </c>
      <c r="AJ76" s="474">
        <v>12544</v>
      </c>
      <c r="AK76" s="542">
        <f>+(AH76+AI76+AJ76)/(+R76+S76+T76)</f>
        <v>0.8702523519387445</v>
      </c>
      <c r="AL76" s="597"/>
      <c r="AM76" s="543">
        <v>13428</v>
      </c>
      <c r="AN76" s="82">
        <v>12552</v>
      </c>
      <c r="AO76" s="82">
        <v>11980</v>
      </c>
      <c r="AP76" s="231">
        <f t="shared" si="38"/>
        <v>0.8861498237504961</v>
      </c>
      <c r="AQ76" s="83">
        <f t="shared" si="39"/>
        <v>153239</v>
      </c>
      <c r="AR76" s="554" t="s">
        <v>241</v>
      </c>
      <c r="AS76" s="103"/>
      <c r="AT76" s="161"/>
      <c r="AU76" s="60">
        <v>0</v>
      </c>
      <c r="AV76" s="60">
        <v>0</v>
      </c>
      <c r="AW76" s="60">
        <v>0</v>
      </c>
      <c r="AX76" s="232">
        <f t="shared" si="40"/>
        <v>0</v>
      </c>
      <c r="AY76" s="60">
        <v>0</v>
      </c>
      <c r="AZ76" s="60">
        <v>0</v>
      </c>
      <c r="BA76" s="60">
        <v>0</v>
      </c>
      <c r="BB76" s="138">
        <f t="shared" si="43"/>
        <v>0</v>
      </c>
      <c r="BC76" s="60">
        <v>0</v>
      </c>
      <c r="BD76" s="60">
        <v>0</v>
      </c>
      <c r="BE76" s="60">
        <v>0</v>
      </c>
      <c r="BF76" s="138">
        <f t="shared" si="44"/>
        <v>0</v>
      </c>
      <c r="BG76" s="60">
        <v>0</v>
      </c>
      <c r="BH76" s="60">
        <v>0</v>
      </c>
      <c r="BI76" s="60">
        <v>0</v>
      </c>
      <c r="BJ76" s="60">
        <f>SUM(BG76:BI76)</f>
        <v>0</v>
      </c>
      <c r="BK76" s="139">
        <f t="shared" si="46"/>
        <v>0</v>
      </c>
      <c r="BL76" s="425"/>
      <c r="BM76" s="107">
        <v>0</v>
      </c>
      <c r="BN76" s="107">
        <v>0</v>
      </c>
      <c r="BO76" s="107">
        <v>0</v>
      </c>
      <c r="BP76" s="267"/>
      <c r="BQ76" s="107">
        <v>0</v>
      </c>
      <c r="BR76" s="107">
        <v>0</v>
      </c>
      <c r="BS76" s="107">
        <v>0</v>
      </c>
      <c r="BT76" s="267"/>
      <c r="BU76" s="60">
        <v>0</v>
      </c>
      <c r="BV76" s="60">
        <v>0</v>
      </c>
      <c r="BW76" s="60">
        <v>0</v>
      </c>
      <c r="BX76" s="266"/>
      <c r="BY76" s="107">
        <v>0</v>
      </c>
      <c r="BZ76" s="107">
        <v>0</v>
      </c>
      <c r="CA76" s="107">
        <v>0</v>
      </c>
      <c r="CB76" s="581" t="e">
        <f t="shared" si="41"/>
        <v>#DIV/0!</v>
      </c>
      <c r="CC76" s="201">
        <f t="shared" si="42"/>
        <v>0</v>
      </c>
      <c r="CD76" s="60">
        <v>0</v>
      </c>
      <c r="CE76" s="101"/>
      <c r="CF76" s="550" t="s">
        <v>302</v>
      </c>
    </row>
    <row r="77" spans="2:84" ht="12" thickBot="1">
      <c r="B77" s="190"/>
      <c r="C77" s="309"/>
      <c r="D77" s="309"/>
      <c r="E77" s="21"/>
      <c r="F77" s="21"/>
      <c r="G77" s="21"/>
      <c r="H77" s="21"/>
      <c r="I77" s="21"/>
      <c r="J77" s="21"/>
      <c r="K77" s="21"/>
      <c r="L77" s="21"/>
      <c r="M77" s="21"/>
      <c r="N77" s="21"/>
      <c r="O77" s="21"/>
      <c r="P77" s="21"/>
      <c r="Q77" s="21"/>
      <c r="R77" s="21"/>
      <c r="S77" s="21"/>
      <c r="T77" s="1433" t="s">
        <v>331</v>
      </c>
      <c r="U77" s="1434"/>
      <c r="V77" s="1434"/>
      <c r="W77" s="1434"/>
      <c r="X77" s="1435"/>
      <c r="Y77" s="240">
        <f>SUM(Y60:Y76)</f>
        <v>9698249.41</v>
      </c>
      <c r="Z77" s="309"/>
      <c r="AA77" s="309"/>
      <c r="AB77" s="309"/>
      <c r="AC77" s="309"/>
      <c r="AD77" s="309"/>
      <c r="AE77" s="309"/>
      <c r="AF77" s="309"/>
      <c r="AG77" s="309"/>
      <c r="AH77" s="309"/>
      <c r="AI77" s="309"/>
      <c r="AJ77" s="477"/>
      <c r="AK77" s="309"/>
      <c r="AL77" s="108"/>
      <c r="AM77" s="309"/>
      <c r="AN77" s="309"/>
      <c r="AO77" s="309"/>
      <c r="AP77" s="309"/>
      <c r="AQ77" s="309"/>
      <c r="AR77" s="570"/>
      <c r="AS77" s="309"/>
      <c r="AT77" s="161"/>
      <c r="AU77" s="210"/>
      <c r="AV77" s="210"/>
      <c r="AW77" s="210"/>
      <c r="AX77" s="210"/>
      <c r="AY77" s="210"/>
      <c r="AZ77" s="210"/>
      <c r="BA77" s="210"/>
      <c r="BB77" s="210"/>
      <c r="BC77" s="210"/>
      <c r="BD77" s="210"/>
      <c r="BE77" s="210"/>
      <c r="BF77" s="210"/>
      <c r="BG77" s="210"/>
      <c r="BH77" s="210"/>
      <c r="BI77" s="210"/>
      <c r="BJ77" s="210"/>
      <c r="BK77" s="210">
        <f>SUM(BK60:BK76)</f>
        <v>9698249.41</v>
      </c>
      <c r="BL77" s="435">
        <f aca="true" t="shared" si="48" ref="BL77:CC77">SUM(BL60:BL76)</f>
        <v>0</v>
      </c>
      <c r="BM77" s="310">
        <f t="shared" si="48"/>
        <v>445222.41</v>
      </c>
      <c r="BN77" s="310">
        <f t="shared" si="48"/>
        <v>672647.04</v>
      </c>
      <c r="BO77" s="310">
        <f t="shared" si="48"/>
        <v>706509.42</v>
      </c>
      <c r="BP77" s="389"/>
      <c r="BQ77" s="210">
        <f t="shared" si="48"/>
        <v>720554.32</v>
      </c>
      <c r="BR77" s="210">
        <f t="shared" si="48"/>
        <v>786229.6499999999</v>
      </c>
      <c r="BS77" s="210">
        <f t="shared" si="48"/>
        <v>894690.38</v>
      </c>
      <c r="BT77" s="368"/>
      <c r="BU77" s="210">
        <f t="shared" si="48"/>
        <v>693428.3300000001</v>
      </c>
      <c r="BV77" s="210">
        <f t="shared" si="48"/>
        <v>942443.34</v>
      </c>
      <c r="BW77" s="210">
        <f t="shared" si="48"/>
        <v>769216.0700000002</v>
      </c>
      <c r="BX77" s="380"/>
      <c r="BY77" s="210">
        <f t="shared" si="48"/>
        <v>741908.15</v>
      </c>
      <c r="BZ77" s="210">
        <f t="shared" si="48"/>
        <v>837719.11</v>
      </c>
      <c r="CA77" s="210">
        <f t="shared" si="48"/>
        <v>1320067.4200000002</v>
      </c>
      <c r="CB77" s="384" t="e">
        <f t="shared" si="48"/>
        <v>#DIV/0!</v>
      </c>
      <c r="CC77" s="387">
        <f t="shared" si="48"/>
        <v>9530635.639999999</v>
      </c>
      <c r="CD77" s="385"/>
      <c r="CE77" s="94"/>
      <c r="CF77" s="95"/>
    </row>
    <row r="78" spans="2:84" ht="12" thickBot="1">
      <c r="B78" s="211">
        <v>1</v>
      </c>
      <c r="C78" s="212">
        <v>2</v>
      </c>
      <c r="D78" s="212">
        <v>3</v>
      </c>
      <c r="E78" s="213">
        <v>6</v>
      </c>
      <c r="F78" s="213">
        <v>7</v>
      </c>
      <c r="G78" s="213"/>
      <c r="H78" s="213">
        <v>9</v>
      </c>
      <c r="I78" s="214">
        <v>10</v>
      </c>
      <c r="J78" s="214">
        <v>11</v>
      </c>
      <c r="K78" s="213">
        <v>12</v>
      </c>
      <c r="L78" s="215">
        <v>13</v>
      </c>
      <c r="M78" s="215"/>
      <c r="N78" s="215"/>
      <c r="O78" s="215"/>
      <c r="P78" s="215"/>
      <c r="Q78" s="215"/>
      <c r="R78" s="215"/>
      <c r="S78" s="215"/>
      <c r="T78" s="215"/>
      <c r="U78" s="215"/>
      <c r="V78" s="215"/>
      <c r="W78" s="215"/>
      <c r="X78" s="213">
        <v>14</v>
      </c>
      <c r="Y78" s="160">
        <v>15</v>
      </c>
      <c r="Z78" s="214">
        <v>16</v>
      </c>
      <c r="AA78" s="214"/>
      <c r="AB78" s="214"/>
      <c r="AC78" s="214"/>
      <c r="AD78" s="214"/>
      <c r="AE78" s="214"/>
      <c r="AF78" s="214"/>
      <c r="AG78" s="214"/>
      <c r="AH78" s="214"/>
      <c r="AI78" s="214"/>
      <c r="AJ78" s="458"/>
      <c r="AK78" s="214"/>
      <c r="AL78" s="216"/>
      <c r="AM78" s="214"/>
      <c r="AN78" s="214"/>
      <c r="AO78" s="214"/>
      <c r="AP78" s="214"/>
      <c r="AQ78" s="214">
        <v>17</v>
      </c>
      <c r="AR78" s="564"/>
      <c r="AS78" s="214">
        <v>21</v>
      </c>
      <c r="AT78" s="161"/>
      <c r="AU78" s="216">
        <v>13</v>
      </c>
      <c r="AV78" s="216"/>
      <c r="AW78" s="216"/>
      <c r="AX78" s="216"/>
      <c r="AY78" s="216"/>
      <c r="AZ78" s="216"/>
      <c r="BA78" s="216"/>
      <c r="BB78" s="216"/>
      <c r="BC78" s="216"/>
      <c r="BD78" s="216"/>
      <c r="BE78" s="216"/>
      <c r="BF78" s="216"/>
      <c r="BG78" s="216"/>
      <c r="BH78" s="216"/>
      <c r="BI78" s="216"/>
      <c r="BJ78" s="216"/>
      <c r="BK78" s="216"/>
      <c r="BL78" s="425">
        <v>15</v>
      </c>
      <c r="BM78" s="214">
        <v>16</v>
      </c>
      <c r="BN78" s="214"/>
      <c r="BO78" s="214"/>
      <c r="BP78" s="371"/>
      <c r="BQ78" s="214"/>
      <c r="BR78" s="214"/>
      <c r="BS78" s="214"/>
      <c r="BT78" s="371"/>
      <c r="BU78" s="214"/>
      <c r="BV78" s="214"/>
      <c r="BW78" s="214"/>
      <c r="BX78" s="371"/>
      <c r="BY78" s="214"/>
      <c r="BZ78" s="214"/>
      <c r="CA78" s="214"/>
      <c r="CB78" s="214"/>
      <c r="CC78" s="386"/>
      <c r="CD78" s="214"/>
      <c r="CE78" s="214"/>
      <c r="CF78" s="213">
        <v>21</v>
      </c>
    </row>
    <row r="79" spans="2:84" ht="17.25" customHeight="1" thickBot="1">
      <c r="B79" s="164" t="s">
        <v>4</v>
      </c>
      <c r="C79" s="165"/>
      <c r="D79" s="165"/>
      <c r="E79" s="166"/>
      <c r="F79" s="1424" t="s">
        <v>11</v>
      </c>
      <c r="G79" s="1424" t="s">
        <v>12</v>
      </c>
      <c r="H79" s="1424" t="s">
        <v>13</v>
      </c>
      <c r="I79" s="1424" t="s">
        <v>14</v>
      </c>
      <c r="J79" s="1424" t="s">
        <v>15</v>
      </c>
      <c r="K79" s="1424" t="s">
        <v>16</v>
      </c>
      <c r="L79" s="167"/>
      <c r="M79" s="167"/>
      <c r="N79" s="167"/>
      <c r="O79" s="167"/>
      <c r="P79" s="167" t="s">
        <v>296</v>
      </c>
      <c r="Q79" s="167"/>
      <c r="R79" s="167"/>
      <c r="S79" s="167"/>
      <c r="T79" s="167"/>
      <c r="U79" s="167"/>
      <c r="V79" s="167"/>
      <c r="W79" s="167"/>
      <c r="X79" s="167"/>
      <c r="Y79" s="168"/>
      <c r="Z79" s="407"/>
      <c r="AA79" s="408"/>
      <c r="AB79" s="408"/>
      <c r="AC79" s="409"/>
      <c r="AD79" s="408"/>
      <c r="AE79" s="408"/>
      <c r="AF79" s="410" t="s">
        <v>18</v>
      </c>
      <c r="AG79" s="410"/>
      <c r="AH79" s="410"/>
      <c r="AI79" s="410"/>
      <c r="AJ79" s="460"/>
      <c r="AK79" s="408"/>
      <c r="AL79" s="589"/>
      <c r="AM79" s="408"/>
      <c r="AN79" s="408"/>
      <c r="AO79" s="408"/>
      <c r="AP79" s="408"/>
      <c r="AQ79" s="169"/>
      <c r="AR79" s="559"/>
      <c r="AS79" s="169"/>
      <c r="AT79" s="161"/>
      <c r="AU79" s="171"/>
      <c r="AV79" s="171"/>
      <c r="AW79" s="171"/>
      <c r="AX79" s="171"/>
      <c r="AY79" s="171"/>
      <c r="AZ79" s="311" t="s">
        <v>283</v>
      </c>
      <c r="BA79" s="171"/>
      <c r="BB79" s="171"/>
      <c r="BC79" s="171"/>
      <c r="BD79" s="171"/>
      <c r="BE79" s="171"/>
      <c r="BF79" s="171"/>
      <c r="BG79" s="171"/>
      <c r="BH79" s="171"/>
      <c r="BI79" s="171"/>
      <c r="BJ79" s="171"/>
      <c r="BK79" s="171"/>
      <c r="BL79" s="421" t="s">
        <v>6</v>
      </c>
      <c r="BM79" s="173"/>
      <c r="BN79" s="173"/>
      <c r="BO79" s="173"/>
      <c r="BP79" s="178"/>
      <c r="BQ79" s="173"/>
      <c r="BR79" s="178"/>
      <c r="BS79" s="178" t="s">
        <v>324</v>
      </c>
      <c r="BT79" s="178"/>
      <c r="BU79" s="173"/>
      <c r="BV79" s="173"/>
      <c r="BW79" s="173"/>
      <c r="BX79" s="178"/>
      <c r="BY79" s="173"/>
      <c r="BZ79" s="173"/>
      <c r="CA79" s="173"/>
      <c r="CB79" s="173"/>
      <c r="CC79" s="1429" t="s">
        <v>287</v>
      </c>
      <c r="CD79" s="1431" t="s">
        <v>253</v>
      </c>
      <c r="CE79" s="1369" t="s">
        <v>19</v>
      </c>
      <c r="CF79" s="1369" t="s">
        <v>20</v>
      </c>
    </row>
    <row r="80" spans="2:84" ht="61.5" customHeight="1">
      <c r="B80" s="1436" t="s">
        <v>7</v>
      </c>
      <c r="C80" s="1437" t="s">
        <v>8</v>
      </c>
      <c r="D80" s="1437" t="s">
        <v>9</v>
      </c>
      <c r="E80" s="172" t="s">
        <v>10</v>
      </c>
      <c r="F80" s="1424"/>
      <c r="G80" s="1424"/>
      <c r="H80" s="1424"/>
      <c r="I80" s="1424"/>
      <c r="J80" s="1424"/>
      <c r="K80" s="1424"/>
      <c r="L80" s="312" t="s">
        <v>212</v>
      </c>
      <c r="M80" s="312" t="s">
        <v>213</v>
      </c>
      <c r="N80" s="312" t="s">
        <v>214</v>
      </c>
      <c r="O80" s="285" t="s">
        <v>215</v>
      </c>
      <c r="P80" s="285" t="s">
        <v>216</v>
      </c>
      <c r="Q80" s="285" t="s">
        <v>217</v>
      </c>
      <c r="R80" s="312" t="s">
        <v>218</v>
      </c>
      <c r="S80" s="312" t="s">
        <v>219</v>
      </c>
      <c r="T80" s="312" t="s">
        <v>220</v>
      </c>
      <c r="U80" s="312" t="s">
        <v>221</v>
      </c>
      <c r="V80" s="312" t="s">
        <v>222</v>
      </c>
      <c r="W80" s="312" t="s">
        <v>223</v>
      </c>
      <c r="X80" s="313"/>
      <c r="Y80" s="314" t="s">
        <v>17</v>
      </c>
      <c r="Z80" s="312" t="s">
        <v>212</v>
      </c>
      <c r="AA80" s="312" t="s">
        <v>213</v>
      </c>
      <c r="AB80" s="312" t="s">
        <v>214</v>
      </c>
      <c r="AC80" s="174"/>
      <c r="AD80" s="285" t="s">
        <v>215</v>
      </c>
      <c r="AE80" s="285" t="s">
        <v>216</v>
      </c>
      <c r="AF80" s="285" t="s">
        <v>217</v>
      </c>
      <c r="AG80" s="175"/>
      <c r="AH80" s="312" t="s">
        <v>218</v>
      </c>
      <c r="AI80" s="312" t="s">
        <v>219</v>
      </c>
      <c r="AJ80" s="478" t="s">
        <v>220</v>
      </c>
      <c r="AK80" s="173"/>
      <c r="AL80" s="598"/>
      <c r="AM80" s="312" t="s">
        <v>221</v>
      </c>
      <c r="AN80" s="312" t="s">
        <v>222</v>
      </c>
      <c r="AO80" s="312" t="s">
        <v>223</v>
      </c>
      <c r="AP80" s="412" t="s">
        <v>196</v>
      </c>
      <c r="AQ80" s="547" t="s">
        <v>282</v>
      </c>
      <c r="AR80" s="560" t="s">
        <v>19</v>
      </c>
      <c r="AS80" s="176" t="s">
        <v>20</v>
      </c>
      <c r="AT80" s="218"/>
      <c r="AU80" s="285" t="s">
        <v>212</v>
      </c>
      <c r="AV80" s="285" t="s">
        <v>213</v>
      </c>
      <c r="AW80" s="285" t="s">
        <v>214</v>
      </c>
      <c r="AX80" s="285" t="s">
        <v>369</v>
      </c>
      <c r="AY80" s="285" t="s">
        <v>215</v>
      </c>
      <c r="AZ80" s="285" t="s">
        <v>216</v>
      </c>
      <c r="BA80" s="285" t="s">
        <v>217</v>
      </c>
      <c r="BB80" s="285" t="s">
        <v>370</v>
      </c>
      <c r="BC80" s="285" t="s">
        <v>218</v>
      </c>
      <c r="BD80" s="285" t="s">
        <v>219</v>
      </c>
      <c r="BE80" s="285" t="s">
        <v>220</v>
      </c>
      <c r="BF80" s="285" t="s">
        <v>371</v>
      </c>
      <c r="BG80" s="285" t="s">
        <v>221</v>
      </c>
      <c r="BH80" s="285" t="s">
        <v>222</v>
      </c>
      <c r="BI80" s="285" t="s">
        <v>223</v>
      </c>
      <c r="BJ80" s="285" t="s">
        <v>373</v>
      </c>
      <c r="BK80" s="1413" t="s">
        <v>284</v>
      </c>
      <c r="BL80" s="1414" t="s">
        <v>285</v>
      </c>
      <c r="BM80" s="179" t="s">
        <v>212</v>
      </c>
      <c r="BN80" s="179" t="s">
        <v>213</v>
      </c>
      <c r="BO80" s="179" t="s">
        <v>214</v>
      </c>
      <c r="BP80" s="182" t="s">
        <v>195</v>
      </c>
      <c r="BQ80" s="179" t="s">
        <v>215</v>
      </c>
      <c r="BR80" s="179" t="s">
        <v>216</v>
      </c>
      <c r="BS80" s="179" t="s">
        <v>217</v>
      </c>
      <c r="BT80" s="286" t="s">
        <v>193</v>
      </c>
      <c r="BU80" s="179" t="s">
        <v>218</v>
      </c>
      <c r="BV80" s="179" t="s">
        <v>219</v>
      </c>
      <c r="BW80" s="179" t="s">
        <v>220</v>
      </c>
      <c r="BX80" s="286" t="s">
        <v>194</v>
      </c>
      <c r="BY80" s="179" t="s">
        <v>221</v>
      </c>
      <c r="BZ80" s="179" t="s">
        <v>222</v>
      </c>
      <c r="CA80" s="179" t="s">
        <v>223</v>
      </c>
      <c r="CB80" s="90" t="s">
        <v>196</v>
      </c>
      <c r="CC80" s="1430"/>
      <c r="CD80" s="1432"/>
      <c r="CE80" s="1409"/>
      <c r="CF80" s="1409"/>
    </row>
    <row r="81" spans="2:84" ht="6" customHeight="1" hidden="1">
      <c r="B81" s="1436"/>
      <c r="C81" s="1437"/>
      <c r="D81" s="1437"/>
      <c r="E81" s="172"/>
      <c r="F81" s="1424"/>
      <c r="G81" s="172"/>
      <c r="H81" s="1424"/>
      <c r="I81" s="1424"/>
      <c r="J81" s="1424"/>
      <c r="K81" s="1424"/>
      <c r="L81" s="179" t="s">
        <v>212</v>
      </c>
      <c r="M81" s="179" t="s">
        <v>213</v>
      </c>
      <c r="N81" s="179" t="s">
        <v>214</v>
      </c>
      <c r="O81" s="179" t="s">
        <v>215</v>
      </c>
      <c r="P81" s="179" t="s">
        <v>216</v>
      </c>
      <c r="Q81" s="179" t="s">
        <v>217</v>
      </c>
      <c r="R81" s="179" t="s">
        <v>218</v>
      </c>
      <c r="S81" s="179" t="s">
        <v>219</v>
      </c>
      <c r="T81" s="179" t="s">
        <v>220</v>
      </c>
      <c r="U81" s="179" t="s">
        <v>221</v>
      </c>
      <c r="V81" s="179" t="s">
        <v>222</v>
      </c>
      <c r="W81" s="179" t="s">
        <v>223</v>
      </c>
      <c r="X81" s="172"/>
      <c r="Y81" s="314"/>
      <c r="Z81" s="179" t="s">
        <v>212</v>
      </c>
      <c r="AA81" s="179" t="s">
        <v>213</v>
      </c>
      <c r="AB81" s="179" t="s">
        <v>214</v>
      </c>
      <c r="AC81" s="315" t="s">
        <v>195</v>
      </c>
      <c r="AD81" s="179" t="s">
        <v>215</v>
      </c>
      <c r="AE81" s="179" t="s">
        <v>216</v>
      </c>
      <c r="AF81" s="179" t="s">
        <v>217</v>
      </c>
      <c r="AG81" s="316" t="s">
        <v>193</v>
      </c>
      <c r="AH81" s="179" t="s">
        <v>218</v>
      </c>
      <c r="AI81" s="179" t="s">
        <v>219</v>
      </c>
      <c r="AJ81" s="461" t="s">
        <v>220</v>
      </c>
      <c r="AK81" s="316" t="s">
        <v>194</v>
      </c>
      <c r="AL81" s="599"/>
      <c r="AM81" s="179" t="s">
        <v>221</v>
      </c>
      <c r="AN81" s="179" t="s">
        <v>222</v>
      </c>
      <c r="AO81" s="179" t="s">
        <v>223</v>
      </c>
      <c r="AP81" s="316" t="s">
        <v>196</v>
      </c>
      <c r="AQ81" s="176"/>
      <c r="AR81" s="560"/>
      <c r="AS81" s="181"/>
      <c r="AT81" s="218"/>
      <c r="AU81" s="179" t="s">
        <v>212</v>
      </c>
      <c r="AV81" s="179" t="s">
        <v>213</v>
      </c>
      <c r="AW81" s="179" t="s">
        <v>214</v>
      </c>
      <c r="AX81" s="179"/>
      <c r="AY81" s="179" t="s">
        <v>215</v>
      </c>
      <c r="AZ81" s="179" t="s">
        <v>216</v>
      </c>
      <c r="BA81" s="179" t="s">
        <v>217</v>
      </c>
      <c r="BB81" s="179"/>
      <c r="BC81" s="179" t="s">
        <v>218</v>
      </c>
      <c r="BD81" s="179" t="s">
        <v>219</v>
      </c>
      <c r="BE81" s="179" t="s">
        <v>220</v>
      </c>
      <c r="BF81" s="179"/>
      <c r="BG81" s="179" t="s">
        <v>221</v>
      </c>
      <c r="BH81" s="179" t="s">
        <v>222</v>
      </c>
      <c r="BI81" s="179" t="s">
        <v>223</v>
      </c>
      <c r="BJ81" s="179"/>
      <c r="BK81" s="1413"/>
      <c r="BL81" s="1414"/>
      <c r="BM81" s="179" t="s">
        <v>212</v>
      </c>
      <c r="BN81" s="179" t="s">
        <v>213</v>
      </c>
      <c r="BO81" s="179" t="s">
        <v>214</v>
      </c>
      <c r="BP81" s="317" t="s">
        <v>195</v>
      </c>
      <c r="BQ81" s="179" t="s">
        <v>215</v>
      </c>
      <c r="BR81" s="179" t="s">
        <v>216</v>
      </c>
      <c r="BS81" s="179" t="s">
        <v>217</v>
      </c>
      <c r="BT81" s="369" t="s">
        <v>193</v>
      </c>
      <c r="BU81" s="179" t="s">
        <v>218</v>
      </c>
      <c r="BV81" s="179" t="s">
        <v>219</v>
      </c>
      <c r="BW81" s="179" t="s">
        <v>220</v>
      </c>
      <c r="BX81" s="369" t="s">
        <v>194</v>
      </c>
      <c r="BY81" s="179" t="s">
        <v>221</v>
      </c>
      <c r="BZ81" s="179" t="s">
        <v>222</v>
      </c>
      <c r="CA81" s="179" t="s">
        <v>223</v>
      </c>
      <c r="CB81" s="318" t="s">
        <v>196</v>
      </c>
      <c r="CC81" s="220"/>
      <c r="CD81" s="219"/>
      <c r="CE81" s="176"/>
      <c r="CF81" s="221"/>
    </row>
    <row r="82" spans="1:84" ht="27.75" customHeight="1" thickBot="1">
      <c r="A82" s="38">
        <v>5</v>
      </c>
      <c r="B82" s="319" t="s">
        <v>26</v>
      </c>
      <c r="C82" s="320"/>
      <c r="D82" s="320"/>
      <c r="E82" s="321"/>
      <c r="F82" s="321"/>
      <c r="G82" s="321"/>
      <c r="H82" s="321"/>
      <c r="I82" s="322"/>
      <c r="J82" s="322"/>
      <c r="K82" s="321"/>
      <c r="L82" s="321"/>
      <c r="M82" s="321"/>
      <c r="N82" s="321"/>
      <c r="O82" s="321"/>
      <c r="P82" s="321"/>
      <c r="Q82" s="321"/>
      <c r="R82" s="321"/>
      <c r="S82" s="321"/>
      <c r="T82" s="321"/>
      <c r="U82" s="321"/>
      <c r="V82" s="321"/>
      <c r="W82" s="321"/>
      <c r="X82" s="321"/>
      <c r="Y82" s="323"/>
      <c r="Z82" s="322"/>
      <c r="AA82" s="322"/>
      <c r="AB82" s="322"/>
      <c r="AC82" s="324"/>
      <c r="AD82" s="322"/>
      <c r="AE82" s="322"/>
      <c r="AF82" s="322"/>
      <c r="AG82" s="322"/>
      <c r="AH82" s="322"/>
      <c r="AI82" s="322"/>
      <c r="AJ82" s="479"/>
      <c r="AK82" s="322"/>
      <c r="AL82" s="326"/>
      <c r="AM82" s="322"/>
      <c r="AN82" s="322"/>
      <c r="AO82" s="322"/>
      <c r="AP82" s="322"/>
      <c r="AQ82" s="322"/>
      <c r="AR82" s="321"/>
      <c r="AS82" s="322"/>
      <c r="AT82" s="325"/>
      <c r="AU82" s="326"/>
      <c r="AV82" s="326"/>
      <c r="AW82" s="326"/>
      <c r="AX82" s="326"/>
      <c r="AY82" s="326"/>
      <c r="AZ82" s="326"/>
      <c r="BA82" s="326"/>
      <c r="BB82" s="326"/>
      <c r="BC82" s="326"/>
      <c r="BD82" s="326"/>
      <c r="BE82" s="326"/>
      <c r="BF82" s="326"/>
      <c r="BG82" s="326"/>
      <c r="BH82" s="326"/>
      <c r="BI82" s="326"/>
      <c r="BJ82" s="326"/>
      <c r="BK82" s="326"/>
      <c r="BL82" s="428"/>
      <c r="BM82" s="327"/>
      <c r="BN82" s="327"/>
      <c r="BO82" s="327"/>
      <c r="BP82" s="372"/>
      <c r="BQ82" s="326"/>
      <c r="BR82" s="326"/>
      <c r="BS82" s="326"/>
      <c r="BT82" s="372"/>
      <c r="BU82" s="326"/>
      <c r="BV82" s="326"/>
      <c r="BW82" s="326"/>
      <c r="BX82" s="372"/>
      <c r="BY82" s="326"/>
      <c r="BZ82" s="326"/>
      <c r="CA82" s="326"/>
      <c r="CB82" s="322"/>
      <c r="CC82" s="201">
        <f>+BM82+BN82+BO82+BQ82+BR82+BS82+BU82+BV82+BW82+BY82+BZ82+CA82</f>
        <v>0</v>
      </c>
      <c r="CD82" s="322"/>
      <c r="CE82" s="322"/>
      <c r="CF82" s="321"/>
    </row>
    <row r="83" spans="2:84" ht="111.75" customHeight="1" thickBot="1">
      <c r="B83" s="56" t="s">
        <v>199</v>
      </c>
      <c r="C83" s="118" t="s">
        <v>200</v>
      </c>
      <c r="D83" s="118" t="s">
        <v>198</v>
      </c>
      <c r="E83" s="32" t="s">
        <v>82</v>
      </c>
      <c r="F83" s="32" t="s">
        <v>267</v>
      </c>
      <c r="G83" s="32" t="s">
        <v>76</v>
      </c>
      <c r="H83" s="32" t="s">
        <v>77</v>
      </c>
      <c r="I83" s="58" t="s">
        <v>78</v>
      </c>
      <c r="J83" s="58">
        <v>181</v>
      </c>
      <c r="K83" s="32" t="s">
        <v>79</v>
      </c>
      <c r="L83" s="32">
        <v>0</v>
      </c>
      <c r="M83" s="59">
        <v>5</v>
      </c>
      <c r="N83" s="59">
        <v>100</v>
      </c>
      <c r="O83" s="59">
        <v>2</v>
      </c>
      <c r="P83" s="59">
        <v>3</v>
      </c>
      <c r="Q83" s="59">
        <v>1</v>
      </c>
      <c r="R83" s="59">
        <v>0</v>
      </c>
      <c r="S83" s="59">
        <v>12</v>
      </c>
      <c r="T83" s="59">
        <v>58</v>
      </c>
      <c r="U83" s="32">
        <v>0</v>
      </c>
      <c r="V83" s="32">
        <v>0</v>
      </c>
      <c r="W83" s="32">
        <v>0</v>
      </c>
      <c r="X83" s="32">
        <f>SUM(L83:W83)</f>
        <v>181</v>
      </c>
      <c r="Y83" s="533">
        <f>+BK83</f>
        <v>0</v>
      </c>
      <c r="Z83" s="543">
        <v>0</v>
      </c>
      <c r="AA83" s="543">
        <v>5</v>
      </c>
      <c r="AB83" s="543">
        <v>96</v>
      </c>
      <c r="AC83" s="104">
        <f>(Z83+AA83+AB83)/(+L83+M83+N83)</f>
        <v>0.9619047619047619</v>
      </c>
      <c r="AD83" s="543">
        <v>2</v>
      </c>
      <c r="AE83" s="543">
        <v>3</v>
      </c>
      <c r="AF83" s="543">
        <v>1</v>
      </c>
      <c r="AG83" s="328">
        <f>(+AD83+AE83+AF83)/(+O83+P83+Q83)</f>
        <v>1</v>
      </c>
      <c r="AH83" s="543">
        <v>0</v>
      </c>
      <c r="AI83" s="543">
        <v>12</v>
      </c>
      <c r="AJ83" s="474">
        <v>58</v>
      </c>
      <c r="AK83" s="541">
        <f>+(AH83+AI83+AJ83)/(+R83+S83+T83)</f>
        <v>1</v>
      </c>
      <c r="AL83" s="600"/>
      <c r="AM83" s="543"/>
      <c r="AN83" s="543"/>
      <c r="AO83" s="543"/>
      <c r="AP83" s="106"/>
      <c r="AQ83" s="83">
        <f>+AO83+AN83+AM83+AJ83+AI83+AH83+AF83+AE83+AD83+AB83+AA83+Z83</f>
        <v>177</v>
      </c>
      <c r="AR83" s="554" t="s">
        <v>80</v>
      </c>
      <c r="AS83" s="101" t="s">
        <v>81</v>
      </c>
      <c r="AT83" s="161"/>
      <c r="AU83" s="60">
        <v>0</v>
      </c>
      <c r="AV83" s="60">
        <v>0</v>
      </c>
      <c r="AW83" s="60">
        <v>0</v>
      </c>
      <c r="AX83" s="232">
        <f>SUM(AU83:AW83)</f>
        <v>0</v>
      </c>
      <c r="AY83" s="60">
        <v>0</v>
      </c>
      <c r="AZ83" s="60">
        <v>0</v>
      </c>
      <c r="BA83" s="60">
        <v>0</v>
      </c>
      <c r="BB83" s="138">
        <f>SUM(AY83:BA83)</f>
        <v>0</v>
      </c>
      <c r="BC83" s="60">
        <v>0</v>
      </c>
      <c r="BD83" s="60">
        <v>0</v>
      </c>
      <c r="BE83" s="60">
        <v>0</v>
      </c>
      <c r="BF83" s="60">
        <f>SUM(BC83:BE83)</f>
        <v>0</v>
      </c>
      <c r="BG83" s="60">
        <v>0</v>
      </c>
      <c r="BH83" s="60">
        <v>0</v>
      </c>
      <c r="BI83" s="60">
        <v>0</v>
      </c>
      <c r="BJ83" s="60">
        <f>SUM(BG83:BI83)</f>
        <v>0</v>
      </c>
      <c r="BK83" s="70">
        <f>+BJ83+BF83+BB83+AX83</f>
        <v>0</v>
      </c>
      <c r="BL83" s="436">
        <f>SUM(AU83:BK83)</f>
        <v>0</v>
      </c>
      <c r="BM83" s="107">
        <v>0</v>
      </c>
      <c r="BN83" s="107">
        <v>0</v>
      </c>
      <c r="BO83" s="107">
        <v>0</v>
      </c>
      <c r="BP83" s="373"/>
      <c r="BQ83" s="107">
        <v>0</v>
      </c>
      <c r="BR83" s="107">
        <v>0</v>
      </c>
      <c r="BS83" s="107">
        <v>0</v>
      </c>
      <c r="BT83" s="373"/>
      <c r="BU83" s="107">
        <v>0</v>
      </c>
      <c r="BV83" s="107">
        <v>0</v>
      </c>
      <c r="BW83" s="107">
        <v>0</v>
      </c>
      <c r="BX83" s="373"/>
      <c r="BY83" s="71">
        <v>0</v>
      </c>
      <c r="BZ83" s="71">
        <v>0</v>
      </c>
      <c r="CA83" s="71">
        <v>0</v>
      </c>
      <c r="CB83" s="581" t="e">
        <f>+(BY83+BZ83+CA83)/(BG83+BH83+BI83)</f>
        <v>#DIV/0!</v>
      </c>
      <c r="CC83" s="201">
        <f>+BM83+BN83+BO83+BQ83+BR83+BS83+BU83+BV83+BW83+BY83+BZ83+CA83</f>
        <v>0</v>
      </c>
      <c r="CD83" s="87"/>
      <c r="CE83" s="94" t="s">
        <v>80</v>
      </c>
      <c r="CF83" s="95" t="s">
        <v>265</v>
      </c>
    </row>
    <row r="84" spans="1:84" ht="37.5" customHeight="1" thickBot="1">
      <c r="A84" s="133"/>
      <c r="B84" s="56" t="s">
        <v>204</v>
      </c>
      <c r="C84" s="118" t="s">
        <v>298</v>
      </c>
      <c r="D84" s="118" t="s">
        <v>202</v>
      </c>
      <c r="E84" s="1438" t="s">
        <v>263</v>
      </c>
      <c r="F84" s="32" t="s">
        <v>292</v>
      </c>
      <c r="G84" s="32" t="s">
        <v>297</v>
      </c>
      <c r="H84" s="32" t="s">
        <v>69</v>
      </c>
      <c r="I84" s="58">
        <v>1</v>
      </c>
      <c r="J84" s="58">
        <v>1</v>
      </c>
      <c r="K84" s="32" t="s">
        <v>301</v>
      </c>
      <c r="L84" s="32"/>
      <c r="M84" s="59"/>
      <c r="N84" s="59"/>
      <c r="O84" s="59"/>
      <c r="P84" s="59"/>
      <c r="Q84" s="59">
        <v>1</v>
      </c>
      <c r="R84" s="59"/>
      <c r="S84" s="59"/>
      <c r="T84" s="59"/>
      <c r="U84" s="32"/>
      <c r="V84" s="32"/>
      <c r="W84" s="32"/>
      <c r="X84" s="32">
        <f>SUM(L84:W84)</f>
        <v>1</v>
      </c>
      <c r="Y84" s="533">
        <f>+BK84</f>
        <v>633360</v>
      </c>
      <c r="Z84" s="543"/>
      <c r="AA84" s="543"/>
      <c r="AB84" s="543"/>
      <c r="AC84" s="104"/>
      <c r="AD84" s="543"/>
      <c r="AE84" s="543"/>
      <c r="AF84" s="543">
        <v>1</v>
      </c>
      <c r="AG84" s="328">
        <f>(+AD84+AE84+AF84)/(+O84+P84+Q84)</f>
        <v>1</v>
      </c>
      <c r="AH84" s="543"/>
      <c r="AI84" s="543"/>
      <c r="AJ84" s="474"/>
      <c r="AK84" s="541"/>
      <c r="AL84" s="600"/>
      <c r="AM84" s="543"/>
      <c r="AN84" s="543"/>
      <c r="AO84" s="543"/>
      <c r="AP84" s="106"/>
      <c r="AQ84" s="83"/>
      <c r="AR84" s="554"/>
      <c r="AS84" s="101"/>
      <c r="AT84" s="161"/>
      <c r="AU84" s="60">
        <v>0</v>
      </c>
      <c r="AV84" s="60">
        <v>0</v>
      </c>
      <c r="AW84" s="60">
        <v>0</v>
      </c>
      <c r="AX84" s="232">
        <f>SUM(AU84:AW84)</f>
        <v>0</v>
      </c>
      <c r="AY84" s="60">
        <v>0</v>
      </c>
      <c r="AZ84" s="60">
        <v>0</v>
      </c>
      <c r="BA84" s="60">
        <v>0</v>
      </c>
      <c r="BB84" s="138">
        <f>SUM(AY84:BA84)</f>
        <v>0</v>
      </c>
      <c r="BC84" s="60">
        <v>0</v>
      </c>
      <c r="BD84" s="60">
        <v>0</v>
      </c>
      <c r="BE84" s="60">
        <v>0</v>
      </c>
      <c r="BF84" s="60">
        <f>SUM(BC84:BE84)</f>
        <v>0</v>
      </c>
      <c r="BG84" s="60">
        <f>499800+66780</f>
        <v>566580</v>
      </c>
      <c r="BH84" s="60">
        <v>66780</v>
      </c>
      <c r="BI84" s="60">
        <v>0</v>
      </c>
      <c r="BJ84" s="60">
        <f>SUM(BG84:BI84)</f>
        <v>633360</v>
      </c>
      <c r="BK84" s="70">
        <f>+BJ84+BF84+BB84+AX84</f>
        <v>633360</v>
      </c>
      <c r="BL84" s="436">
        <v>0</v>
      </c>
      <c r="BM84" s="107">
        <v>0</v>
      </c>
      <c r="BN84" s="107">
        <v>0</v>
      </c>
      <c r="BO84" s="107">
        <v>0</v>
      </c>
      <c r="BP84" s="373"/>
      <c r="BQ84" s="107">
        <v>0</v>
      </c>
      <c r="BR84" s="107">
        <v>0</v>
      </c>
      <c r="BS84" s="107">
        <v>0</v>
      </c>
      <c r="BT84" s="373"/>
      <c r="BU84" s="107">
        <v>0</v>
      </c>
      <c r="BV84" s="107">
        <v>0</v>
      </c>
      <c r="BW84" s="107">
        <v>0</v>
      </c>
      <c r="BX84" s="373"/>
      <c r="BY84" s="71">
        <v>566580</v>
      </c>
      <c r="BZ84" s="71">
        <v>0</v>
      </c>
      <c r="CA84" s="71">
        <v>66780</v>
      </c>
      <c r="CB84" s="581">
        <f>+(BY84+BZ84+CA84)/(BG84+BH84+BI84)</f>
        <v>1</v>
      </c>
      <c r="CC84" s="201">
        <f>+BM84+BN84+BO84+BQ84+BR84+BS84+BU84+BV84+BW84+BY84+BZ84+CA84</f>
        <v>633360</v>
      </c>
      <c r="CD84" s="132">
        <f>+CC84/Y84</f>
        <v>1</v>
      </c>
      <c r="CE84" s="94"/>
      <c r="CF84" s="95"/>
    </row>
    <row r="85" spans="1:84" ht="63" customHeight="1" thickBot="1">
      <c r="A85" s="133"/>
      <c r="B85" s="56" t="s">
        <v>199</v>
      </c>
      <c r="C85" s="118" t="s">
        <v>200</v>
      </c>
      <c r="D85" s="118" t="s">
        <v>198</v>
      </c>
      <c r="E85" s="1438"/>
      <c r="F85" s="32" t="s">
        <v>299</v>
      </c>
      <c r="G85" s="32" t="s">
        <v>297</v>
      </c>
      <c r="H85" s="32" t="s">
        <v>300</v>
      </c>
      <c r="I85" s="58">
        <v>14</v>
      </c>
      <c r="J85" s="58">
        <v>14</v>
      </c>
      <c r="K85" s="32" t="s">
        <v>295</v>
      </c>
      <c r="L85" s="32">
        <v>1</v>
      </c>
      <c r="M85" s="59">
        <v>1</v>
      </c>
      <c r="N85" s="59">
        <v>1</v>
      </c>
      <c r="O85" s="59">
        <v>1</v>
      </c>
      <c r="P85" s="59">
        <v>1</v>
      </c>
      <c r="Q85" s="59">
        <v>1</v>
      </c>
      <c r="R85" s="59">
        <v>1</v>
      </c>
      <c r="S85" s="59">
        <v>2</v>
      </c>
      <c r="T85" s="59">
        <v>1</v>
      </c>
      <c r="U85" s="32">
        <v>1</v>
      </c>
      <c r="V85" s="32">
        <v>1</v>
      </c>
      <c r="W85" s="32">
        <v>2</v>
      </c>
      <c r="X85" s="32">
        <f>SUM(L85:W85)</f>
        <v>14</v>
      </c>
      <c r="Y85" s="533">
        <f>+BK85</f>
        <v>759244.32</v>
      </c>
      <c r="Z85" s="543">
        <v>1</v>
      </c>
      <c r="AA85" s="543">
        <v>1</v>
      </c>
      <c r="AB85" s="543">
        <v>1</v>
      </c>
      <c r="AC85" s="104">
        <f>(Z85+AA85+AB85)/(+L85+M85+N85)</f>
        <v>1</v>
      </c>
      <c r="AD85" s="543">
        <v>1</v>
      </c>
      <c r="AE85" s="543">
        <v>1</v>
      </c>
      <c r="AF85" s="543">
        <v>1</v>
      </c>
      <c r="AG85" s="328">
        <f>(+AD85+AE85+AF85)/(+O85+P85+Q85)</f>
        <v>1</v>
      </c>
      <c r="AH85" s="543">
        <v>1</v>
      </c>
      <c r="AI85" s="543">
        <v>2</v>
      </c>
      <c r="AJ85" s="474">
        <v>1</v>
      </c>
      <c r="AK85" s="541">
        <f>+(AH85+AI85+AJ85)/(+R85+S85+T85)</f>
        <v>1</v>
      </c>
      <c r="AL85" s="600"/>
      <c r="AM85" s="543"/>
      <c r="AN85" s="543"/>
      <c r="AO85" s="543"/>
      <c r="AP85" s="106"/>
      <c r="AQ85" s="83">
        <f>+AO85+AN85+AM85+AJ85+AI85+AH85+AF85+AE85+AD85+AB85+AA85+Z85</f>
        <v>10</v>
      </c>
      <c r="AR85" s="554"/>
      <c r="AS85" s="101"/>
      <c r="AT85" s="161"/>
      <c r="AU85" s="60">
        <v>55000</v>
      </c>
      <c r="AV85" s="60">
        <v>55000</v>
      </c>
      <c r="AW85" s="60">
        <v>55000</v>
      </c>
      <c r="AX85" s="232">
        <f>SUM(AU85:AW85)</f>
        <v>165000</v>
      </c>
      <c r="AY85" s="60">
        <v>55000</v>
      </c>
      <c r="AZ85" s="60">
        <v>55000</v>
      </c>
      <c r="BA85" s="60">
        <v>55000</v>
      </c>
      <c r="BB85" s="138">
        <f>SUM(AY85:BA85)</f>
        <v>165000</v>
      </c>
      <c r="BC85" s="60">
        <v>55000</v>
      </c>
      <c r="BD85" s="60">
        <v>115000</v>
      </c>
      <c r="BE85" s="60">
        <v>58000</v>
      </c>
      <c r="BF85" s="60">
        <f>SUM(BC85:BE85)</f>
        <v>228000</v>
      </c>
      <c r="BG85" s="60">
        <v>56000</v>
      </c>
      <c r="BH85" s="60">
        <v>56000</v>
      </c>
      <c r="BI85" s="60">
        <f>759244.32-670000</f>
        <v>89244.31999999995</v>
      </c>
      <c r="BJ85" s="60">
        <f>SUM(BG85:BI85)</f>
        <v>201244.31999999995</v>
      </c>
      <c r="BK85" s="70">
        <f>+BJ85+BF85+BB85+AX85</f>
        <v>759244.32</v>
      </c>
      <c r="BL85" s="436">
        <v>0</v>
      </c>
      <c r="BM85" s="110">
        <v>0</v>
      </c>
      <c r="BN85" s="110">
        <v>104288.12</v>
      </c>
      <c r="BO85" s="110">
        <v>52344.26</v>
      </c>
      <c r="BP85" s="373">
        <f>+(BM85+BN85+BO85)/(AU85+AV85+AW85)</f>
        <v>0.9492871515151515</v>
      </c>
      <c r="BQ85" s="71">
        <v>54217.38</v>
      </c>
      <c r="BR85" s="71">
        <v>52869.8</v>
      </c>
      <c r="BS85" s="71">
        <v>0</v>
      </c>
      <c r="BT85" s="373">
        <f>+(BQ85+BR85+BS85)/(AY85+AZ85+BA85)</f>
        <v>0.6490132121212121</v>
      </c>
      <c r="BU85" s="71">
        <v>52869.8</v>
      </c>
      <c r="BV85" s="71">
        <v>173320.38</v>
      </c>
      <c r="BW85" s="71">
        <v>0</v>
      </c>
      <c r="BX85" s="373">
        <f>+(BU85+BV85+BW85)/(BC85+BD85+BE85)</f>
        <v>0.9920621929824561</v>
      </c>
      <c r="BY85" s="71">
        <v>53577.63</v>
      </c>
      <c r="BZ85" s="71">
        <v>53408.03</v>
      </c>
      <c r="CA85" s="71">
        <v>52723.5</v>
      </c>
      <c r="CB85" s="581">
        <f>+(BY85+BZ85+CA85)/(BG85+BH85+BI85)</f>
        <v>0.7936082866835698</v>
      </c>
      <c r="CC85" s="201">
        <f>+BM85+BN85+BO85+BQ85+BR85+BS85+BU85+BV85+BW85+BY85+BZ85+CA85+0.01</f>
        <v>649618.91</v>
      </c>
      <c r="CD85" s="132">
        <f>+CC85/Y85</f>
        <v>0.8556124726754625</v>
      </c>
      <c r="CE85" s="94"/>
      <c r="CF85" s="95" t="s">
        <v>266</v>
      </c>
    </row>
    <row r="86" spans="2:84" ht="12" thickBot="1">
      <c r="B86" s="204"/>
      <c r="C86" s="205"/>
      <c r="D86" s="205"/>
      <c r="E86" s="33"/>
      <c r="F86" s="33"/>
      <c r="G86" s="33"/>
      <c r="H86" s="33"/>
      <c r="I86" s="111"/>
      <c r="J86" s="111"/>
      <c r="K86" s="33"/>
      <c r="L86" s="206"/>
      <c r="M86" s="206"/>
      <c r="N86" s="206"/>
      <c r="O86" s="206"/>
      <c r="P86" s="206"/>
      <c r="Q86" s="206"/>
      <c r="R86" s="206"/>
      <c r="S86" s="206"/>
      <c r="T86" s="1433" t="s">
        <v>330</v>
      </c>
      <c r="U86" s="1434"/>
      <c r="V86" s="1434"/>
      <c r="W86" s="1434"/>
      <c r="X86" s="1435"/>
      <c r="Y86" s="154">
        <f>SUM(Y83:Y85)</f>
        <v>1392604.3199999998</v>
      </c>
      <c r="Z86" s="391"/>
      <c r="AA86" s="111"/>
      <c r="AB86" s="111"/>
      <c r="AC86" s="207"/>
      <c r="AD86" s="111"/>
      <c r="AE86" s="111"/>
      <c r="AF86" s="111"/>
      <c r="AG86" s="111"/>
      <c r="AH86" s="111"/>
      <c r="AI86" s="111"/>
      <c r="AJ86" s="457"/>
      <c r="AK86" s="111"/>
      <c r="AL86" s="71"/>
      <c r="AM86" s="111"/>
      <c r="AN86" s="111"/>
      <c r="AO86" s="111"/>
      <c r="AP86" s="111"/>
      <c r="AQ86" s="111"/>
      <c r="AR86" s="563"/>
      <c r="AS86" s="111"/>
      <c r="AT86" s="161"/>
      <c r="AU86" s="329"/>
      <c r="AV86" s="329"/>
      <c r="AW86" s="329"/>
      <c r="AX86" s="329">
        <f>SUM(AX83:AX85)</f>
        <v>165000</v>
      </c>
      <c r="AY86" s="329"/>
      <c r="AZ86" s="329"/>
      <c r="BA86" s="329"/>
      <c r="BB86" s="329">
        <f>SUM(BB83:BB85)</f>
        <v>165000</v>
      </c>
      <c r="BC86" s="329"/>
      <c r="BD86" s="329"/>
      <c r="BE86" s="329"/>
      <c r="BF86" s="329">
        <f>SUM(BF83:BF85)</f>
        <v>228000</v>
      </c>
      <c r="BG86" s="329"/>
      <c r="BH86" s="329"/>
      <c r="BI86" s="329"/>
      <c r="BJ86" s="329">
        <f>SUM(BJ83:BJ85)</f>
        <v>834604.32</v>
      </c>
      <c r="BK86" s="329">
        <f>SUM(BK83:BK85)</f>
        <v>1392604.3199999998</v>
      </c>
      <c r="BL86" s="437">
        <f>SUM(BL83)</f>
        <v>0</v>
      </c>
      <c r="BM86" s="329">
        <f>+BM85</f>
        <v>0</v>
      </c>
      <c r="BN86" s="330">
        <f>+BN85</f>
        <v>104288.12</v>
      </c>
      <c r="BO86" s="330">
        <f>+BO85</f>
        <v>52344.26</v>
      </c>
      <c r="BP86" s="373"/>
      <c r="BQ86" s="330">
        <f aca="true" t="shared" si="49" ref="BQ86:BV86">+BQ85</f>
        <v>54217.38</v>
      </c>
      <c r="BR86" s="330">
        <f t="shared" si="49"/>
        <v>52869.8</v>
      </c>
      <c r="BS86" s="330">
        <f t="shared" si="49"/>
        <v>0</v>
      </c>
      <c r="BT86" s="374">
        <f t="shared" si="49"/>
        <v>0.6490132121212121</v>
      </c>
      <c r="BU86" s="330">
        <f t="shared" si="49"/>
        <v>52869.8</v>
      </c>
      <c r="BV86" s="330">
        <f t="shared" si="49"/>
        <v>173320.38</v>
      </c>
      <c r="BW86" s="330">
        <f>SUM(BW83)</f>
        <v>0</v>
      </c>
      <c r="BX86" s="381"/>
      <c r="BY86" s="330">
        <f>SUM(BY84:BY85)</f>
        <v>620157.63</v>
      </c>
      <c r="BZ86" s="330">
        <f>SUM(BZ84:BZ85)</f>
        <v>53408.03</v>
      </c>
      <c r="CA86" s="330">
        <f>SUM(CA84:CA85)</f>
        <v>119503.5</v>
      </c>
      <c r="CB86" s="331"/>
      <c r="CC86" s="332">
        <f>+BM86+BN86+BO86+BQ86+BR86+BS86+BU86+BV86+BW86+BY86+BZ86+CA86</f>
        <v>1282978.9000000001</v>
      </c>
      <c r="CD86" s="111"/>
      <c r="CE86" s="111"/>
      <c r="CF86" s="206"/>
    </row>
    <row r="87" spans="2:84" ht="11.25">
      <c r="B87" s="204"/>
      <c r="C87" s="205"/>
      <c r="D87" s="205"/>
      <c r="E87" s="33"/>
      <c r="F87" s="33"/>
      <c r="G87" s="33"/>
      <c r="H87" s="33"/>
      <c r="I87" s="111"/>
      <c r="J87" s="111"/>
      <c r="K87" s="33"/>
      <c r="L87" s="206"/>
      <c r="M87" s="206"/>
      <c r="N87" s="206"/>
      <c r="O87" s="206"/>
      <c r="P87" s="206"/>
      <c r="Q87" s="206"/>
      <c r="R87" s="206"/>
      <c r="S87" s="206"/>
      <c r="T87" s="206"/>
      <c r="U87" s="206"/>
      <c r="V87" s="206"/>
      <c r="W87" s="206"/>
      <c r="X87" s="206"/>
      <c r="Y87" s="392"/>
      <c r="Z87" s="111"/>
      <c r="AA87" s="111"/>
      <c r="AB87" s="111"/>
      <c r="AC87" s="207"/>
      <c r="AD87" s="111"/>
      <c r="AE87" s="111"/>
      <c r="AF87" s="111"/>
      <c r="AG87" s="111"/>
      <c r="AH87" s="111"/>
      <c r="AI87" s="111"/>
      <c r="AJ87" s="457"/>
      <c r="AK87" s="111"/>
      <c r="AL87" s="71"/>
      <c r="AM87" s="111"/>
      <c r="AN87" s="111"/>
      <c r="AO87" s="111"/>
      <c r="AP87" s="111"/>
      <c r="AQ87" s="111"/>
      <c r="AR87" s="563"/>
      <c r="AS87" s="111"/>
      <c r="AT87" s="161"/>
      <c r="AU87" s="329"/>
      <c r="AV87" s="329"/>
      <c r="AW87" s="329"/>
      <c r="AX87" s="329"/>
      <c r="AY87" s="329"/>
      <c r="AZ87" s="329"/>
      <c r="BA87" s="329"/>
      <c r="BB87" s="329"/>
      <c r="BC87" s="329"/>
      <c r="BD87" s="329"/>
      <c r="BE87" s="329"/>
      <c r="BF87" s="329"/>
      <c r="BG87" s="329"/>
      <c r="BH87" s="329"/>
      <c r="BI87" s="329"/>
      <c r="BJ87" s="329"/>
      <c r="BK87" s="329"/>
      <c r="BL87" s="437"/>
      <c r="BM87" s="329"/>
      <c r="BN87" s="329"/>
      <c r="BO87" s="329"/>
      <c r="BP87" s="268"/>
      <c r="BQ87" s="329"/>
      <c r="BR87" s="329"/>
      <c r="BS87" s="329"/>
      <c r="BT87" s="268"/>
      <c r="BU87" s="329"/>
      <c r="BV87" s="329"/>
      <c r="BW87" s="329"/>
      <c r="BX87" s="268"/>
      <c r="BY87" s="329"/>
      <c r="BZ87" s="329"/>
      <c r="CA87" s="329"/>
      <c r="CB87" s="111"/>
      <c r="CC87" s="131"/>
      <c r="CD87" s="111"/>
      <c r="CE87" s="111"/>
      <c r="CF87" s="206"/>
    </row>
    <row r="88" spans="2:84" ht="11.25">
      <c r="B88" s="211">
        <v>1</v>
      </c>
      <c r="C88" s="212">
        <v>2</v>
      </c>
      <c r="D88" s="212">
        <v>3</v>
      </c>
      <c r="E88" s="213">
        <v>6</v>
      </c>
      <c r="F88" s="213">
        <v>7</v>
      </c>
      <c r="G88" s="213"/>
      <c r="H88" s="213">
        <v>9</v>
      </c>
      <c r="I88" s="214">
        <v>10</v>
      </c>
      <c r="J88" s="214">
        <v>11</v>
      </c>
      <c r="K88" s="213">
        <v>12</v>
      </c>
      <c r="L88" s="215">
        <v>13</v>
      </c>
      <c r="M88" s="215"/>
      <c r="N88" s="215"/>
      <c r="O88" s="215"/>
      <c r="P88" s="215"/>
      <c r="Q88" s="215"/>
      <c r="R88" s="215"/>
      <c r="S88" s="215"/>
      <c r="T88" s="215"/>
      <c r="U88" s="215"/>
      <c r="V88" s="215"/>
      <c r="W88" s="215"/>
      <c r="X88" s="213">
        <v>14</v>
      </c>
      <c r="Y88" s="160">
        <v>15</v>
      </c>
      <c r="Z88" s="214">
        <v>16</v>
      </c>
      <c r="AA88" s="214"/>
      <c r="AB88" s="214"/>
      <c r="AC88" s="214"/>
      <c r="AD88" s="214"/>
      <c r="AE88" s="214"/>
      <c r="AF88" s="214"/>
      <c r="AG88" s="214"/>
      <c r="AH88" s="214"/>
      <c r="AI88" s="214"/>
      <c r="AJ88" s="458"/>
      <c r="AK88" s="214"/>
      <c r="AL88" s="216"/>
      <c r="AM88" s="214"/>
      <c r="AN88" s="214"/>
      <c r="AO88" s="214"/>
      <c r="AP88" s="214"/>
      <c r="AQ88" s="214">
        <v>17</v>
      </c>
      <c r="AR88" s="564"/>
      <c r="AS88" s="214">
        <v>21</v>
      </c>
      <c r="AT88" s="161"/>
      <c r="AU88" s="216">
        <v>13</v>
      </c>
      <c r="AV88" s="216"/>
      <c r="AW88" s="216"/>
      <c r="AX88" s="216"/>
      <c r="AY88" s="216"/>
      <c r="AZ88" s="216"/>
      <c r="BA88" s="216"/>
      <c r="BB88" s="216"/>
      <c r="BC88" s="216"/>
      <c r="BD88" s="216"/>
      <c r="BE88" s="216"/>
      <c r="BF88" s="216"/>
      <c r="BG88" s="216"/>
      <c r="BH88" s="216"/>
      <c r="BI88" s="216"/>
      <c r="BJ88" s="216"/>
      <c r="BK88" s="216"/>
      <c r="BL88" s="425">
        <v>15</v>
      </c>
      <c r="BM88" s="214">
        <v>16</v>
      </c>
      <c r="BN88" s="214"/>
      <c r="BO88" s="214"/>
      <c r="BP88" s="371"/>
      <c r="BQ88" s="214"/>
      <c r="BR88" s="214"/>
      <c r="BS88" s="214"/>
      <c r="BT88" s="371"/>
      <c r="BU88" s="214"/>
      <c r="BV88" s="214"/>
      <c r="BW88" s="214"/>
      <c r="BX88" s="371"/>
      <c r="BY88" s="214"/>
      <c r="BZ88" s="214"/>
      <c r="CA88" s="214"/>
      <c r="CB88" s="214"/>
      <c r="CC88" s="163">
        <v>17</v>
      </c>
      <c r="CD88" s="214"/>
      <c r="CE88" s="214"/>
      <c r="CF88" s="213">
        <v>21</v>
      </c>
    </row>
    <row r="89" spans="2:84" ht="11.25" customHeight="1" thickBot="1">
      <c r="B89" s="164" t="s">
        <v>4</v>
      </c>
      <c r="C89" s="165"/>
      <c r="D89" s="165"/>
      <c r="E89" s="166"/>
      <c r="F89" s="166"/>
      <c r="G89" s="166"/>
      <c r="H89" s="166"/>
      <c r="I89" s="166"/>
      <c r="J89" s="166"/>
      <c r="K89" s="166"/>
      <c r="L89" s="167"/>
      <c r="M89" s="167"/>
      <c r="N89" s="167" t="s">
        <v>5</v>
      </c>
      <c r="O89" s="167"/>
      <c r="P89" s="167"/>
      <c r="Q89" s="167"/>
      <c r="R89" s="167"/>
      <c r="S89" s="167"/>
      <c r="T89" s="167"/>
      <c r="U89" s="167"/>
      <c r="V89" s="167"/>
      <c r="W89" s="167"/>
      <c r="X89" s="167"/>
      <c r="Y89" s="168"/>
      <c r="Z89" s="169"/>
      <c r="AA89" s="169"/>
      <c r="AB89" s="169"/>
      <c r="AC89" s="169"/>
      <c r="AD89" s="169"/>
      <c r="AE89" s="169"/>
      <c r="AF89" s="169"/>
      <c r="AG89" s="170"/>
      <c r="AH89" s="169"/>
      <c r="AI89" s="169"/>
      <c r="AJ89" s="480"/>
      <c r="AK89" s="169"/>
      <c r="AL89" s="601"/>
      <c r="AM89" s="169"/>
      <c r="AN89" s="169"/>
      <c r="AO89" s="169"/>
      <c r="AP89" s="169"/>
      <c r="AQ89" s="169"/>
      <c r="AR89" s="559"/>
      <c r="AS89" s="169"/>
      <c r="AT89" s="161"/>
      <c r="AU89" s="171"/>
      <c r="AV89" s="171"/>
      <c r="AW89" s="171"/>
      <c r="AX89" s="171"/>
      <c r="AY89" s="171"/>
      <c r="AZ89" s="171"/>
      <c r="BA89" s="171"/>
      <c r="BB89" s="171"/>
      <c r="BC89" s="171"/>
      <c r="BD89" s="171"/>
      <c r="BE89" s="171"/>
      <c r="BF89" s="171"/>
      <c r="BG89" s="171"/>
      <c r="BH89" s="171"/>
      <c r="BI89" s="171"/>
      <c r="BJ89" s="171"/>
      <c r="BK89" s="171"/>
      <c r="BL89" s="421" t="s">
        <v>6</v>
      </c>
      <c r="BM89" s="169"/>
      <c r="BN89" s="169"/>
      <c r="BO89" s="169"/>
      <c r="BP89" s="281"/>
      <c r="BQ89" s="169"/>
      <c r="BR89" s="169"/>
      <c r="BS89" s="169"/>
      <c r="BT89" s="281"/>
      <c r="BU89" s="169"/>
      <c r="BV89" s="169"/>
      <c r="BW89" s="169"/>
      <c r="BX89" s="281"/>
      <c r="BY89" s="169"/>
      <c r="BZ89" s="169"/>
      <c r="CA89" s="169"/>
      <c r="CB89" s="169"/>
      <c r="CC89" s="217"/>
      <c r="CD89" s="169"/>
      <c r="CE89" s="169"/>
      <c r="CF89" s="170"/>
    </row>
    <row r="90" spans="2:84" ht="30" customHeight="1" thickBot="1">
      <c r="B90" s="1436" t="s">
        <v>7</v>
      </c>
      <c r="C90" s="1437" t="s">
        <v>8</v>
      </c>
      <c r="D90" s="1437" t="s">
        <v>9</v>
      </c>
      <c r="E90" s="1424" t="s">
        <v>10</v>
      </c>
      <c r="F90" s="1424" t="s">
        <v>11</v>
      </c>
      <c r="G90" s="1424" t="s">
        <v>12</v>
      </c>
      <c r="H90" s="1424" t="s">
        <v>13</v>
      </c>
      <c r="I90" s="1424" t="s">
        <v>14</v>
      </c>
      <c r="J90" s="1424" t="s">
        <v>290</v>
      </c>
      <c r="K90" s="1424" t="s">
        <v>16</v>
      </c>
      <c r="L90" s="172"/>
      <c r="M90" s="172"/>
      <c r="N90" s="172"/>
      <c r="O90" s="172"/>
      <c r="P90" s="172"/>
      <c r="Q90" s="1418" t="s">
        <v>280</v>
      </c>
      <c r="R90" s="1418"/>
      <c r="S90" s="1418"/>
      <c r="T90" s="1418"/>
      <c r="U90" s="1418"/>
      <c r="V90" s="172"/>
      <c r="W90" s="172"/>
      <c r="X90" s="333"/>
      <c r="Y90" s="314" t="s">
        <v>17</v>
      </c>
      <c r="Z90" s="407"/>
      <c r="AA90" s="408"/>
      <c r="AB90" s="408"/>
      <c r="AC90" s="409"/>
      <c r="AD90" s="408"/>
      <c r="AE90" s="408"/>
      <c r="AF90" s="410" t="s">
        <v>18</v>
      </c>
      <c r="AG90" s="410"/>
      <c r="AH90" s="410"/>
      <c r="AI90" s="410"/>
      <c r="AJ90" s="460"/>
      <c r="AK90" s="408"/>
      <c r="AL90" s="589"/>
      <c r="AM90" s="408"/>
      <c r="AN90" s="408"/>
      <c r="AO90" s="408"/>
      <c r="AP90" s="408"/>
      <c r="AQ90" s="547" t="s">
        <v>282</v>
      </c>
      <c r="AR90" s="560" t="s">
        <v>19</v>
      </c>
      <c r="AS90" s="176" t="s">
        <v>20</v>
      </c>
      <c r="AT90" s="218"/>
      <c r="AU90" s="177"/>
      <c r="AV90" s="177"/>
      <c r="AW90" s="177"/>
      <c r="AX90" s="177"/>
      <c r="AY90" s="177"/>
      <c r="AZ90" s="1413" t="s">
        <v>283</v>
      </c>
      <c r="BA90" s="1413"/>
      <c r="BB90" s="1413"/>
      <c r="BC90" s="1413"/>
      <c r="BD90" s="1413"/>
      <c r="BE90" s="177"/>
      <c r="BF90" s="177"/>
      <c r="BG90" s="177"/>
      <c r="BH90" s="177"/>
      <c r="BI90" s="177"/>
      <c r="BJ90" s="177"/>
      <c r="BK90" s="1413" t="s">
        <v>284</v>
      </c>
      <c r="BL90" s="1414" t="s">
        <v>285</v>
      </c>
      <c r="BM90" s="173"/>
      <c r="BN90" s="173"/>
      <c r="BO90" s="173"/>
      <c r="BP90" s="178"/>
      <c r="BQ90" s="173"/>
      <c r="BR90" s="178"/>
      <c r="BS90" s="178" t="s">
        <v>324</v>
      </c>
      <c r="BT90" s="178"/>
      <c r="BU90" s="173"/>
      <c r="BV90" s="173"/>
      <c r="BW90" s="173"/>
      <c r="BX90" s="178"/>
      <c r="BY90" s="173"/>
      <c r="BZ90" s="173"/>
      <c r="CA90" s="173"/>
      <c r="CB90" s="173"/>
      <c r="CC90" s="1429" t="s">
        <v>287</v>
      </c>
      <c r="CD90" s="1431" t="s">
        <v>253</v>
      </c>
      <c r="CE90" s="1369" t="s">
        <v>19</v>
      </c>
      <c r="CF90" s="1369" t="s">
        <v>20</v>
      </c>
    </row>
    <row r="91" spans="2:84" ht="57.75" customHeight="1">
      <c r="B91" s="1436"/>
      <c r="C91" s="1437"/>
      <c r="D91" s="1437"/>
      <c r="E91" s="1424"/>
      <c r="F91" s="1424"/>
      <c r="G91" s="1424"/>
      <c r="H91" s="1424"/>
      <c r="I91" s="1424"/>
      <c r="J91" s="1424"/>
      <c r="K91" s="1424"/>
      <c r="L91" s="179" t="s">
        <v>212</v>
      </c>
      <c r="M91" s="179" t="s">
        <v>213</v>
      </c>
      <c r="N91" s="179" t="s">
        <v>214</v>
      </c>
      <c r="O91" s="179" t="s">
        <v>215</v>
      </c>
      <c r="P91" s="179" t="s">
        <v>216</v>
      </c>
      <c r="Q91" s="179" t="s">
        <v>217</v>
      </c>
      <c r="R91" s="179" t="s">
        <v>218</v>
      </c>
      <c r="S91" s="179" t="s">
        <v>219</v>
      </c>
      <c r="T91" s="179" t="s">
        <v>220</v>
      </c>
      <c r="U91" s="179" t="s">
        <v>221</v>
      </c>
      <c r="V91" s="179" t="s">
        <v>222</v>
      </c>
      <c r="W91" s="179" t="s">
        <v>223</v>
      </c>
      <c r="X91" s="172"/>
      <c r="Y91" s="314"/>
      <c r="Z91" s="179" t="s">
        <v>212</v>
      </c>
      <c r="AA91" s="179" t="s">
        <v>213</v>
      </c>
      <c r="AB91" s="179" t="s">
        <v>214</v>
      </c>
      <c r="AC91" s="104" t="s">
        <v>195</v>
      </c>
      <c r="AD91" s="179" t="s">
        <v>215</v>
      </c>
      <c r="AE91" s="179" t="s">
        <v>216</v>
      </c>
      <c r="AF91" s="179" t="s">
        <v>217</v>
      </c>
      <c r="AG91" s="180" t="s">
        <v>193</v>
      </c>
      <c r="AH91" s="179" t="s">
        <v>218</v>
      </c>
      <c r="AI91" s="179" t="s">
        <v>219</v>
      </c>
      <c r="AJ91" s="461" t="s">
        <v>220</v>
      </c>
      <c r="AK91" s="180" t="s">
        <v>194</v>
      </c>
      <c r="AL91" s="590"/>
      <c r="AM91" s="179" t="s">
        <v>221</v>
      </c>
      <c r="AN91" s="179" t="s">
        <v>222</v>
      </c>
      <c r="AO91" s="179" t="s">
        <v>223</v>
      </c>
      <c r="AP91" s="412" t="s">
        <v>196</v>
      </c>
      <c r="AQ91" s="176"/>
      <c r="AR91" s="560"/>
      <c r="AS91" s="181"/>
      <c r="AT91" s="218"/>
      <c r="AU91" s="179" t="s">
        <v>212</v>
      </c>
      <c r="AV91" s="179" t="s">
        <v>213</v>
      </c>
      <c r="AW91" s="179" t="s">
        <v>214</v>
      </c>
      <c r="AX91" s="285" t="s">
        <v>369</v>
      </c>
      <c r="AY91" s="179" t="s">
        <v>215</v>
      </c>
      <c r="AZ91" s="179" t="s">
        <v>216</v>
      </c>
      <c r="BA91" s="179" t="s">
        <v>217</v>
      </c>
      <c r="BB91" s="285" t="s">
        <v>370</v>
      </c>
      <c r="BC91" s="179" t="s">
        <v>218</v>
      </c>
      <c r="BD91" s="179" t="s">
        <v>219</v>
      </c>
      <c r="BE91" s="179" t="s">
        <v>220</v>
      </c>
      <c r="BF91" s="285" t="s">
        <v>371</v>
      </c>
      <c r="BG91" s="179" t="s">
        <v>221</v>
      </c>
      <c r="BH91" s="179" t="s">
        <v>222</v>
      </c>
      <c r="BI91" s="179" t="s">
        <v>223</v>
      </c>
      <c r="BJ91" s="285" t="s">
        <v>373</v>
      </c>
      <c r="BK91" s="1413"/>
      <c r="BL91" s="1414"/>
      <c r="BM91" s="179" t="s">
        <v>212</v>
      </c>
      <c r="BN91" s="179" t="s">
        <v>213</v>
      </c>
      <c r="BO91" s="179" t="s">
        <v>214</v>
      </c>
      <c r="BP91" s="182" t="s">
        <v>195</v>
      </c>
      <c r="BQ91" s="179" t="s">
        <v>215</v>
      </c>
      <c r="BR91" s="179" t="s">
        <v>216</v>
      </c>
      <c r="BS91" s="179" t="s">
        <v>217</v>
      </c>
      <c r="BT91" s="369" t="s">
        <v>193</v>
      </c>
      <c r="BU91" s="179" t="s">
        <v>218</v>
      </c>
      <c r="BV91" s="179" t="s">
        <v>219</v>
      </c>
      <c r="BW91" s="179" t="s">
        <v>220</v>
      </c>
      <c r="BX91" s="286" t="s">
        <v>194</v>
      </c>
      <c r="BY91" s="179" t="s">
        <v>221</v>
      </c>
      <c r="BZ91" s="179" t="s">
        <v>222</v>
      </c>
      <c r="CA91" s="179" t="s">
        <v>223</v>
      </c>
      <c r="CB91" s="90" t="s">
        <v>196</v>
      </c>
      <c r="CC91" s="1430"/>
      <c r="CD91" s="1432"/>
      <c r="CE91" s="1409"/>
      <c r="CF91" s="1409"/>
    </row>
    <row r="92" spans="1:84" ht="17.25" customHeight="1" thickBot="1">
      <c r="A92" s="4">
        <v>6</v>
      </c>
      <c r="B92" s="334" t="s">
        <v>27</v>
      </c>
      <c r="C92" s="335"/>
      <c r="D92" s="335"/>
      <c r="E92" s="336"/>
      <c r="F92" s="336"/>
      <c r="G92" s="336"/>
      <c r="H92" s="336"/>
      <c r="I92" s="337"/>
      <c r="J92" s="337"/>
      <c r="K92" s="336"/>
      <c r="L92" s="336"/>
      <c r="M92" s="336"/>
      <c r="N92" s="336"/>
      <c r="O92" s="336"/>
      <c r="P92" s="336"/>
      <c r="Q92" s="336"/>
      <c r="R92" s="336"/>
      <c r="S92" s="336"/>
      <c r="T92" s="336"/>
      <c r="U92" s="336"/>
      <c r="V92" s="336"/>
      <c r="W92" s="336"/>
      <c r="X92" s="336"/>
      <c r="Y92" s="338"/>
      <c r="Z92" s="337"/>
      <c r="AA92" s="337"/>
      <c r="AB92" s="337"/>
      <c r="AC92" s="339"/>
      <c r="AD92" s="337"/>
      <c r="AE92" s="337"/>
      <c r="AF92" s="337"/>
      <c r="AG92" s="186"/>
      <c r="AH92" s="337"/>
      <c r="AI92" s="337"/>
      <c r="AJ92" s="481"/>
      <c r="AK92" s="186"/>
      <c r="AL92" s="602"/>
      <c r="AM92" s="337"/>
      <c r="AN92" s="337"/>
      <c r="AO92" s="337"/>
      <c r="AP92" s="187"/>
      <c r="AQ92" s="337"/>
      <c r="AR92" s="336"/>
      <c r="AS92" s="337"/>
      <c r="AT92" s="161"/>
      <c r="AU92" s="340"/>
      <c r="AV92" s="340"/>
      <c r="AW92" s="340"/>
      <c r="AX92" s="340"/>
      <c r="AY92" s="340"/>
      <c r="AZ92" s="340"/>
      <c r="BA92" s="340"/>
      <c r="BB92" s="340"/>
      <c r="BC92" s="340"/>
      <c r="BD92" s="340"/>
      <c r="BE92" s="340"/>
      <c r="BF92" s="340"/>
      <c r="BG92" s="340"/>
      <c r="BH92" s="340"/>
      <c r="BI92" s="340"/>
      <c r="BJ92" s="340"/>
      <c r="BK92" s="340"/>
      <c r="BL92" s="428"/>
      <c r="BM92" s="341"/>
      <c r="BN92" s="341"/>
      <c r="BO92" s="341"/>
      <c r="BP92" s="295"/>
      <c r="BQ92" s="340"/>
      <c r="BR92" s="340"/>
      <c r="BS92" s="340"/>
      <c r="BT92" s="295"/>
      <c r="BU92" s="340"/>
      <c r="BV92" s="340"/>
      <c r="BW92" s="340"/>
      <c r="BX92" s="296"/>
      <c r="BY92" s="340"/>
      <c r="BZ92" s="340"/>
      <c r="CA92" s="340"/>
      <c r="CB92" s="91"/>
      <c r="CC92" s="342"/>
      <c r="CD92" s="337"/>
      <c r="CE92" s="337"/>
      <c r="CF92" s="336"/>
    </row>
    <row r="93" spans="1:84" ht="49.5" customHeight="1" thickBot="1">
      <c r="A93" s="133"/>
      <c r="B93" s="343" t="s">
        <v>199</v>
      </c>
      <c r="C93" s="192" t="s">
        <v>200</v>
      </c>
      <c r="D93" s="192" t="s">
        <v>198</v>
      </c>
      <c r="E93" s="32" t="s">
        <v>291</v>
      </c>
      <c r="F93" s="32" t="s">
        <v>293</v>
      </c>
      <c r="G93" s="32" t="s">
        <v>359</v>
      </c>
      <c r="H93" s="32" t="s">
        <v>294</v>
      </c>
      <c r="I93" s="46">
        <v>2</v>
      </c>
      <c r="J93" s="46">
        <v>12</v>
      </c>
      <c r="K93" s="32"/>
      <c r="L93" s="32">
        <v>1</v>
      </c>
      <c r="M93" s="32">
        <v>1</v>
      </c>
      <c r="N93" s="32">
        <v>1</v>
      </c>
      <c r="O93" s="32">
        <v>1</v>
      </c>
      <c r="P93" s="32">
        <v>1</v>
      </c>
      <c r="Q93" s="32">
        <v>1</v>
      </c>
      <c r="R93" s="32">
        <v>1</v>
      </c>
      <c r="S93" s="32">
        <v>1</v>
      </c>
      <c r="T93" s="32">
        <v>1</v>
      </c>
      <c r="U93" s="32">
        <v>1</v>
      </c>
      <c r="V93" s="32">
        <v>1</v>
      </c>
      <c r="W93" s="32">
        <v>1</v>
      </c>
      <c r="X93" s="32">
        <f>SUM(L93:W93)</f>
        <v>12</v>
      </c>
      <c r="Y93" s="533">
        <f>+BK93</f>
        <v>71600</v>
      </c>
      <c r="Z93" s="543">
        <v>1</v>
      </c>
      <c r="AA93" s="543">
        <v>1</v>
      </c>
      <c r="AB93" s="543">
        <v>1</v>
      </c>
      <c r="AC93" s="104">
        <f>(Z93+AA93+AB93)/(+L93+M93+N93)</f>
        <v>1</v>
      </c>
      <c r="AD93" s="82">
        <v>1</v>
      </c>
      <c r="AE93" s="82">
        <v>1</v>
      </c>
      <c r="AF93" s="82">
        <v>1</v>
      </c>
      <c r="AG93" s="104">
        <f>(AD93+AE93+AF93)/(+P93+Q93+R93)</f>
        <v>1</v>
      </c>
      <c r="AH93" s="82">
        <v>1</v>
      </c>
      <c r="AI93" s="82">
        <v>1</v>
      </c>
      <c r="AJ93" s="482">
        <v>1</v>
      </c>
      <c r="AK93" s="106">
        <f>+(AH93+AI93+AJ93)/(+R93+S93+T93)</f>
        <v>1</v>
      </c>
      <c r="AL93" s="603"/>
      <c r="AM93" s="82"/>
      <c r="AN93" s="82"/>
      <c r="AO93" s="82"/>
      <c r="AP93" s="231"/>
      <c r="AQ93" s="83">
        <f>+AO93+AN93+AM93+AJ93+AI93+AH93+AF93+AE93+AD93+AB93+AA93+Z93</f>
        <v>9</v>
      </c>
      <c r="AR93" s="554" t="s">
        <v>264</v>
      </c>
      <c r="AS93" s="101"/>
      <c r="AT93" s="161"/>
      <c r="AU93" s="60">
        <v>6000</v>
      </c>
      <c r="AV93" s="60">
        <v>6000</v>
      </c>
      <c r="AW93" s="60">
        <v>6000</v>
      </c>
      <c r="AX93" s="232">
        <f>SUM(AU93:AW93)</f>
        <v>18000</v>
      </c>
      <c r="AY93" s="60">
        <v>6500</v>
      </c>
      <c r="AZ93" s="60">
        <v>6800</v>
      </c>
      <c r="BA93" s="60">
        <v>6800</v>
      </c>
      <c r="BB93" s="60">
        <f>SUM(AY93:BA93)</f>
        <v>20100</v>
      </c>
      <c r="BC93" s="60">
        <v>6500</v>
      </c>
      <c r="BD93" s="60">
        <v>5000</v>
      </c>
      <c r="BE93" s="60">
        <v>5000</v>
      </c>
      <c r="BF93" s="60">
        <f>SUM(BC93:BE93)</f>
        <v>16500</v>
      </c>
      <c r="BG93" s="60">
        <v>6000</v>
      </c>
      <c r="BH93" s="60">
        <v>6000</v>
      </c>
      <c r="BI93" s="60">
        <v>5000</v>
      </c>
      <c r="BJ93" s="60">
        <f>SUM(BG93:BI93)</f>
        <v>17000</v>
      </c>
      <c r="BK93" s="70">
        <f>+BJ93+BF93+BB93+AX93</f>
        <v>71600</v>
      </c>
      <c r="BL93" s="438"/>
      <c r="BM93" s="110">
        <v>5270.63</v>
      </c>
      <c r="BN93" s="110">
        <v>5971.6</v>
      </c>
      <c r="BO93" s="110">
        <v>6470.83</v>
      </c>
      <c r="BP93" s="267">
        <f>+(BM93+BN93+BO93)/(AU93+AV93+AW93)</f>
        <v>0.9840588888888887</v>
      </c>
      <c r="BQ93" s="71">
        <v>6713.66</v>
      </c>
      <c r="BR93" s="71">
        <v>6432.12</v>
      </c>
      <c r="BS93" s="71">
        <v>6848.08</v>
      </c>
      <c r="BT93" s="267">
        <f>+(BQ93+BR93+BS93)/(AY93+AZ93+BA93)</f>
        <v>0.9947194029850747</v>
      </c>
      <c r="BU93" s="71">
        <v>6588.22</v>
      </c>
      <c r="BV93" s="71">
        <v>4542.14</v>
      </c>
      <c r="BW93" s="71">
        <v>3972.83</v>
      </c>
      <c r="BX93" s="266">
        <f>+(BU93+BV93+BW93)/(BC93+BD93+BE93)</f>
        <v>0.9153448484848485</v>
      </c>
      <c r="BY93" s="71">
        <v>4338.7</v>
      </c>
      <c r="BZ93" s="71">
        <v>4315.06</v>
      </c>
      <c r="CA93" s="71">
        <v>7690.46</v>
      </c>
      <c r="CB93" s="581">
        <f>+(BY93+BZ93+CA93)/(BG93+BH93+BI93)</f>
        <v>0.961424705882353</v>
      </c>
      <c r="CC93" s="201">
        <f>+BM93+BN93+BO93+BQ93+BR93+BS93+BU93+BV93+BW93+BY93+BZ93+CA93</f>
        <v>69154.33</v>
      </c>
      <c r="CD93" s="132">
        <f>+CC93/Y93</f>
        <v>0.9658425977653632</v>
      </c>
      <c r="CE93" s="344" t="s">
        <v>255</v>
      </c>
      <c r="CF93" s="95"/>
    </row>
    <row r="94" spans="2:84" ht="12.75" customHeight="1" thickBot="1">
      <c r="B94" s="204"/>
      <c r="C94" s="205"/>
      <c r="D94" s="205"/>
      <c r="E94" s="33"/>
      <c r="F94" s="33"/>
      <c r="G94" s="33"/>
      <c r="H94" s="33"/>
      <c r="I94" s="111"/>
      <c r="J94" s="111"/>
      <c r="K94" s="35"/>
      <c r="L94" s="206"/>
      <c r="M94" s="206"/>
      <c r="N94" s="206"/>
      <c r="O94" s="206"/>
      <c r="P94" s="206"/>
      <c r="Q94" s="206"/>
      <c r="R94" s="206"/>
      <c r="S94" s="206"/>
      <c r="T94" s="1433" t="s">
        <v>329</v>
      </c>
      <c r="U94" s="1434"/>
      <c r="V94" s="1434"/>
      <c r="W94" s="1434"/>
      <c r="X94" s="1435"/>
      <c r="Y94" s="153">
        <f>SUM(Y93)</f>
        <v>71600</v>
      </c>
      <c r="Z94" s="391"/>
      <c r="AA94" s="111"/>
      <c r="AB94" s="111"/>
      <c r="AC94" s="207"/>
      <c r="AD94" s="111"/>
      <c r="AE94" s="111"/>
      <c r="AF94" s="111"/>
      <c r="AG94" s="111"/>
      <c r="AH94" s="111"/>
      <c r="AI94" s="111"/>
      <c r="AJ94" s="457"/>
      <c r="AK94" s="111"/>
      <c r="AL94" s="71"/>
      <c r="AM94" s="111"/>
      <c r="AN94" s="111"/>
      <c r="AO94" s="111"/>
      <c r="AP94" s="111"/>
      <c r="AQ94" s="111"/>
      <c r="AR94" s="563"/>
      <c r="AS94" s="111"/>
      <c r="AT94" s="161"/>
      <c r="AU94" s="330">
        <f>SUM(AU93)</f>
        <v>6000</v>
      </c>
      <c r="AV94" s="330">
        <f aca="true" t="shared" si="50" ref="AV94:BK94">SUM(AV93)</f>
        <v>6000</v>
      </c>
      <c r="AW94" s="330">
        <f t="shared" si="50"/>
        <v>6000</v>
      </c>
      <c r="AX94" s="330">
        <f t="shared" si="50"/>
        <v>18000</v>
      </c>
      <c r="AY94" s="330">
        <f t="shared" si="50"/>
        <v>6500</v>
      </c>
      <c r="AZ94" s="330">
        <f t="shared" si="50"/>
        <v>6800</v>
      </c>
      <c r="BA94" s="330">
        <f t="shared" si="50"/>
        <v>6800</v>
      </c>
      <c r="BB94" s="330">
        <f t="shared" si="50"/>
        <v>20100</v>
      </c>
      <c r="BC94" s="330">
        <f t="shared" si="50"/>
        <v>6500</v>
      </c>
      <c r="BD94" s="330">
        <f t="shared" si="50"/>
        <v>5000</v>
      </c>
      <c r="BE94" s="330">
        <f t="shared" si="50"/>
        <v>5000</v>
      </c>
      <c r="BF94" s="330">
        <f t="shared" si="50"/>
        <v>16500</v>
      </c>
      <c r="BG94" s="330">
        <f t="shared" si="50"/>
        <v>6000</v>
      </c>
      <c r="BH94" s="330">
        <f t="shared" si="50"/>
        <v>6000</v>
      </c>
      <c r="BI94" s="330">
        <f t="shared" si="50"/>
        <v>5000</v>
      </c>
      <c r="BJ94" s="330">
        <f t="shared" si="50"/>
        <v>17000</v>
      </c>
      <c r="BK94" s="329">
        <f t="shared" si="50"/>
        <v>71600</v>
      </c>
      <c r="BL94" s="423"/>
      <c r="BM94" s="329">
        <f>SUM(BM93)</f>
        <v>5270.63</v>
      </c>
      <c r="BN94" s="330">
        <f>SUM(BN93)</f>
        <v>5971.6</v>
      </c>
      <c r="BO94" s="330">
        <f>SUM(BO93)</f>
        <v>6470.83</v>
      </c>
      <c r="BP94" s="375"/>
      <c r="BQ94" s="330">
        <f>SUM(BQ93)</f>
        <v>6713.66</v>
      </c>
      <c r="BR94" s="330">
        <f>SUM(BR93)</f>
        <v>6432.12</v>
      </c>
      <c r="BS94" s="330">
        <f>SUM(BS93)</f>
        <v>6848.08</v>
      </c>
      <c r="BT94" s="375"/>
      <c r="BU94" s="330">
        <f>SUM(BU93)</f>
        <v>6588.22</v>
      </c>
      <c r="BV94" s="330">
        <f>SUM(BV93)</f>
        <v>4542.14</v>
      </c>
      <c r="BW94" s="330">
        <f>SUM(BW93)</f>
        <v>3972.83</v>
      </c>
      <c r="BX94" s="382"/>
      <c r="BY94" s="330">
        <f>SUM(BY93)</f>
        <v>4338.7</v>
      </c>
      <c r="BZ94" s="330">
        <f>SUM(BZ93)</f>
        <v>4315.06</v>
      </c>
      <c r="CA94" s="330">
        <f>SUM(CA93)</f>
        <v>7690.46</v>
      </c>
      <c r="CB94" s="345"/>
      <c r="CC94" s="346">
        <f>SUM(CC93)</f>
        <v>69154.33</v>
      </c>
      <c r="CD94" s="111"/>
      <c r="CE94" s="111"/>
      <c r="CF94" s="206"/>
    </row>
    <row r="95" spans="2:84" ht="12.75" customHeight="1">
      <c r="B95" s="204"/>
      <c r="C95" s="205"/>
      <c r="D95" s="205"/>
      <c r="E95" s="33"/>
      <c r="F95" s="33"/>
      <c r="G95" s="33"/>
      <c r="H95" s="33"/>
      <c r="I95" s="111"/>
      <c r="J95" s="111"/>
      <c r="K95" s="35"/>
      <c r="L95" s="206"/>
      <c r="M95" s="206"/>
      <c r="N95" s="206"/>
      <c r="O95" s="206"/>
      <c r="P95" s="206"/>
      <c r="Q95" s="206"/>
      <c r="R95" s="206"/>
      <c r="S95" s="206"/>
      <c r="T95" s="206"/>
      <c r="U95" s="206"/>
      <c r="V95" s="206"/>
      <c r="W95" s="206"/>
      <c r="X95" s="206"/>
      <c r="Y95" s="392"/>
      <c r="Z95" s="111"/>
      <c r="AA95" s="111"/>
      <c r="AB95" s="111"/>
      <c r="AC95" s="207"/>
      <c r="AD95" s="111"/>
      <c r="AE95" s="111"/>
      <c r="AF95" s="111"/>
      <c r="AG95" s="111"/>
      <c r="AH95" s="111"/>
      <c r="AI95" s="111"/>
      <c r="AJ95" s="457"/>
      <c r="AK95" s="111"/>
      <c r="AL95" s="71"/>
      <c r="AM95" s="111"/>
      <c r="AN95" s="111"/>
      <c r="AO95" s="111"/>
      <c r="AP95" s="111"/>
      <c r="AQ95" s="111"/>
      <c r="AR95" s="563"/>
      <c r="AS95" s="111"/>
      <c r="AT95" s="161"/>
      <c r="AU95" s="329"/>
      <c r="AV95" s="329"/>
      <c r="AW95" s="329"/>
      <c r="AX95" s="329"/>
      <c r="AY95" s="329"/>
      <c r="AZ95" s="329"/>
      <c r="BA95" s="329"/>
      <c r="BB95" s="329"/>
      <c r="BC95" s="329"/>
      <c r="BD95" s="329"/>
      <c r="BE95" s="329"/>
      <c r="BF95" s="329"/>
      <c r="BG95" s="329"/>
      <c r="BH95" s="329"/>
      <c r="BI95" s="329"/>
      <c r="BJ95" s="329"/>
      <c r="BK95" s="329"/>
      <c r="BL95" s="423"/>
      <c r="BM95" s="329"/>
      <c r="BN95" s="329"/>
      <c r="BO95" s="329"/>
      <c r="BP95" s="376"/>
      <c r="BQ95" s="329"/>
      <c r="BR95" s="329"/>
      <c r="BS95" s="329"/>
      <c r="BT95" s="376"/>
      <c r="BU95" s="329"/>
      <c r="BV95" s="329"/>
      <c r="BW95" s="329"/>
      <c r="BX95" s="383"/>
      <c r="BY95" s="329"/>
      <c r="BZ95" s="329"/>
      <c r="CA95" s="329"/>
      <c r="CB95" s="92"/>
      <c r="CC95" s="131"/>
      <c r="CD95" s="111"/>
      <c r="CE95" s="111"/>
      <c r="CF95" s="206"/>
    </row>
    <row r="96" spans="2:84" ht="11.25">
      <c r="B96" s="211">
        <v>1</v>
      </c>
      <c r="C96" s="212">
        <v>2</v>
      </c>
      <c r="D96" s="212">
        <v>3</v>
      </c>
      <c r="E96" s="213">
        <v>6</v>
      </c>
      <c r="F96" s="213">
        <v>7</v>
      </c>
      <c r="G96" s="213"/>
      <c r="H96" s="213">
        <v>9</v>
      </c>
      <c r="I96" s="214">
        <v>10</v>
      </c>
      <c r="J96" s="214">
        <v>11</v>
      </c>
      <c r="K96" s="213">
        <v>12</v>
      </c>
      <c r="L96" s="215">
        <v>13</v>
      </c>
      <c r="M96" s="215"/>
      <c r="N96" s="215"/>
      <c r="O96" s="215"/>
      <c r="P96" s="215"/>
      <c r="Q96" s="215"/>
      <c r="R96" s="215"/>
      <c r="S96" s="215"/>
      <c r="T96" s="215"/>
      <c r="U96" s="215"/>
      <c r="V96" s="215"/>
      <c r="W96" s="215"/>
      <c r="X96" s="213">
        <v>14</v>
      </c>
      <c r="Y96" s="160">
        <v>15</v>
      </c>
      <c r="Z96" s="214">
        <v>16</v>
      </c>
      <c r="AA96" s="214"/>
      <c r="AB96" s="214"/>
      <c r="AC96" s="214"/>
      <c r="AD96" s="214"/>
      <c r="AE96" s="214"/>
      <c r="AF96" s="214"/>
      <c r="AG96" s="214"/>
      <c r="AH96" s="214"/>
      <c r="AI96" s="214"/>
      <c r="AJ96" s="458"/>
      <c r="AK96" s="214"/>
      <c r="AL96" s="216"/>
      <c r="AM96" s="214"/>
      <c r="AN96" s="214"/>
      <c r="AO96" s="214"/>
      <c r="AP96" s="214"/>
      <c r="AQ96" s="214">
        <v>17</v>
      </c>
      <c r="AR96" s="564"/>
      <c r="AS96" s="214">
        <v>21</v>
      </c>
      <c r="AT96" s="161"/>
      <c r="AU96" s="216">
        <v>13</v>
      </c>
      <c r="AV96" s="216"/>
      <c r="AW96" s="216"/>
      <c r="AX96" s="216"/>
      <c r="AY96" s="216"/>
      <c r="AZ96" s="216"/>
      <c r="BA96" s="216"/>
      <c r="BB96" s="216"/>
      <c r="BC96" s="216"/>
      <c r="BD96" s="216"/>
      <c r="BE96" s="216"/>
      <c r="BF96" s="216"/>
      <c r="BG96" s="216"/>
      <c r="BH96" s="216"/>
      <c r="BI96" s="216"/>
      <c r="BJ96" s="216"/>
      <c r="BK96" s="216"/>
      <c r="BL96" s="425">
        <v>15</v>
      </c>
      <c r="BM96" s="214"/>
      <c r="BN96" s="214"/>
      <c r="BO96" s="214"/>
      <c r="BP96" s="371"/>
      <c r="BQ96" s="214"/>
      <c r="BR96" s="214"/>
      <c r="BS96" s="214"/>
      <c r="BT96" s="371"/>
      <c r="BU96" s="214"/>
      <c r="BV96" s="214"/>
      <c r="BW96" s="214"/>
      <c r="BX96" s="371"/>
      <c r="BY96" s="214"/>
      <c r="BZ96" s="214"/>
      <c r="CA96" s="214"/>
      <c r="CB96" s="214"/>
      <c r="CC96" s="163">
        <v>17</v>
      </c>
      <c r="CD96" s="214"/>
      <c r="CE96" s="214"/>
      <c r="CF96" s="213">
        <v>21</v>
      </c>
    </row>
    <row r="97" spans="2:84" ht="11.25" customHeight="1" thickBot="1">
      <c r="B97" s="164" t="s">
        <v>4</v>
      </c>
      <c r="C97" s="165"/>
      <c r="D97" s="165"/>
      <c r="E97" s="166"/>
      <c r="F97" s="166"/>
      <c r="G97" s="166"/>
      <c r="H97" s="166"/>
      <c r="I97" s="166"/>
      <c r="J97" s="166"/>
      <c r="K97" s="166"/>
      <c r="L97" s="167"/>
      <c r="M97" s="167"/>
      <c r="N97" s="167"/>
      <c r="O97" s="167"/>
      <c r="P97" s="167"/>
      <c r="Q97" s="167"/>
      <c r="R97" s="167" t="s">
        <v>5</v>
      </c>
      <c r="S97" s="167"/>
      <c r="T97" s="167"/>
      <c r="U97" s="167"/>
      <c r="V97" s="167"/>
      <c r="W97" s="167"/>
      <c r="X97" s="167"/>
      <c r="Y97" s="168"/>
      <c r="Z97" s="169"/>
      <c r="AA97" s="169"/>
      <c r="AB97" s="169"/>
      <c r="AC97" s="169"/>
      <c r="AD97" s="169"/>
      <c r="AE97" s="169"/>
      <c r="AF97" s="169"/>
      <c r="AG97" s="170" t="s">
        <v>281</v>
      </c>
      <c r="AH97" s="169"/>
      <c r="AI97" s="169"/>
      <c r="AJ97" s="480"/>
      <c r="AK97" s="169"/>
      <c r="AL97" s="601"/>
      <c r="AM97" s="169"/>
      <c r="AN97" s="169"/>
      <c r="AO97" s="169"/>
      <c r="AP97" s="169"/>
      <c r="AQ97" s="169"/>
      <c r="AR97" s="559"/>
      <c r="AS97" s="169"/>
      <c r="AT97" s="161"/>
      <c r="AU97" s="171"/>
      <c r="AV97" s="171"/>
      <c r="AW97" s="171"/>
      <c r="AX97" s="171"/>
      <c r="AY97" s="171"/>
      <c r="AZ97" s="171"/>
      <c r="BA97" s="171"/>
      <c r="BB97" s="171"/>
      <c r="BC97" s="171"/>
      <c r="BD97" s="171"/>
      <c r="BE97" s="171"/>
      <c r="BF97" s="171"/>
      <c r="BG97" s="171"/>
      <c r="BH97" s="171"/>
      <c r="BI97" s="171"/>
      <c r="BJ97" s="171"/>
      <c r="BK97" s="171"/>
      <c r="BL97" s="421" t="s">
        <v>6</v>
      </c>
      <c r="BM97" s="169"/>
      <c r="BN97" s="169"/>
      <c r="BO97" s="169"/>
      <c r="BP97" s="281"/>
      <c r="BQ97" s="169"/>
      <c r="BR97" s="169"/>
      <c r="BS97" s="169"/>
      <c r="BT97" s="281"/>
      <c r="BU97" s="169"/>
      <c r="BV97" s="169"/>
      <c r="BW97" s="169"/>
      <c r="BX97" s="281"/>
      <c r="BY97" s="169"/>
      <c r="BZ97" s="169"/>
      <c r="CA97" s="169"/>
      <c r="CB97" s="169"/>
      <c r="CC97" s="217"/>
      <c r="CD97" s="169"/>
      <c r="CE97" s="169"/>
      <c r="CF97" s="170"/>
    </row>
    <row r="98" spans="2:84" ht="25.5" customHeight="1" thickBot="1">
      <c r="B98" s="1436" t="s">
        <v>7</v>
      </c>
      <c r="C98" s="1437" t="s">
        <v>8</v>
      </c>
      <c r="D98" s="1437" t="s">
        <v>9</v>
      </c>
      <c r="E98" s="172" t="s">
        <v>10</v>
      </c>
      <c r="F98" s="1424" t="s">
        <v>11</v>
      </c>
      <c r="G98" s="1424" t="s">
        <v>12</v>
      </c>
      <c r="H98" s="1424" t="s">
        <v>13</v>
      </c>
      <c r="I98" s="1424" t="s">
        <v>14</v>
      </c>
      <c r="J98" s="1424" t="s">
        <v>15</v>
      </c>
      <c r="K98" s="1424" t="s">
        <v>16</v>
      </c>
      <c r="L98" s="172"/>
      <c r="M98" s="172"/>
      <c r="N98" s="172"/>
      <c r="O98" s="172"/>
      <c r="P98" s="172"/>
      <c r="Q98" s="1418" t="s">
        <v>280</v>
      </c>
      <c r="R98" s="1418"/>
      <c r="S98" s="1418"/>
      <c r="T98" s="1418"/>
      <c r="U98" s="1418"/>
      <c r="V98" s="172"/>
      <c r="W98" s="172"/>
      <c r="X98" s="333"/>
      <c r="Y98" s="314" t="s">
        <v>17</v>
      </c>
      <c r="Z98" s="407"/>
      <c r="AA98" s="408"/>
      <c r="AB98" s="408"/>
      <c r="AC98" s="409"/>
      <c r="AD98" s="408"/>
      <c r="AE98" s="408"/>
      <c r="AF98" s="410" t="s">
        <v>18</v>
      </c>
      <c r="AG98" s="410"/>
      <c r="AH98" s="410"/>
      <c r="AI98" s="410"/>
      <c r="AJ98" s="460"/>
      <c r="AK98" s="408"/>
      <c r="AL98" s="589"/>
      <c r="AM98" s="408"/>
      <c r="AN98" s="408"/>
      <c r="AO98" s="408"/>
      <c r="AP98" s="408"/>
      <c r="AQ98" s="1369" t="s">
        <v>282</v>
      </c>
      <c r="AR98" s="1425" t="s">
        <v>19</v>
      </c>
      <c r="AS98" s="1369" t="s">
        <v>20</v>
      </c>
      <c r="AT98" s="218"/>
      <c r="AU98" s="177"/>
      <c r="AV98" s="177"/>
      <c r="AW98" s="177"/>
      <c r="AX98" s="177"/>
      <c r="AY98" s="177"/>
      <c r="AZ98" s="1413" t="s">
        <v>283</v>
      </c>
      <c r="BA98" s="1413"/>
      <c r="BB98" s="1413"/>
      <c r="BC98" s="1413"/>
      <c r="BD98" s="1413"/>
      <c r="BE98" s="177"/>
      <c r="BF98" s="177"/>
      <c r="BG98" s="177"/>
      <c r="BH98" s="177"/>
      <c r="BI98" s="177"/>
      <c r="BJ98" s="177"/>
      <c r="BK98" s="1413" t="s">
        <v>284</v>
      </c>
      <c r="BL98" s="1414" t="s">
        <v>285</v>
      </c>
      <c r="BM98" s="173"/>
      <c r="BN98" s="173"/>
      <c r="BO98" s="173"/>
      <c r="BP98" s="178"/>
      <c r="BQ98" s="173"/>
      <c r="BR98" s="178"/>
      <c r="BS98" s="178" t="s">
        <v>286</v>
      </c>
      <c r="BT98" s="178"/>
      <c r="BU98" s="173"/>
      <c r="BV98" s="173"/>
      <c r="BW98" s="173"/>
      <c r="BX98" s="178"/>
      <c r="BY98" s="173"/>
      <c r="BZ98" s="173"/>
      <c r="CA98" s="173"/>
      <c r="CB98" s="173"/>
      <c r="CC98" s="1427" t="s">
        <v>287</v>
      </c>
      <c r="CD98" s="1420" t="s">
        <v>253</v>
      </c>
      <c r="CE98" s="1369" t="s">
        <v>19</v>
      </c>
      <c r="CF98" s="1369" t="s">
        <v>20</v>
      </c>
    </row>
    <row r="99" spans="2:84" ht="65.25" customHeight="1">
      <c r="B99" s="1436"/>
      <c r="C99" s="1437"/>
      <c r="D99" s="1437"/>
      <c r="E99" s="172"/>
      <c r="F99" s="1424"/>
      <c r="G99" s="1424"/>
      <c r="H99" s="1424"/>
      <c r="I99" s="1424"/>
      <c r="J99" s="1424"/>
      <c r="K99" s="1424"/>
      <c r="L99" s="179" t="s">
        <v>212</v>
      </c>
      <c r="M99" s="179" t="s">
        <v>213</v>
      </c>
      <c r="N99" s="179" t="s">
        <v>214</v>
      </c>
      <c r="O99" s="179" t="s">
        <v>215</v>
      </c>
      <c r="P99" s="179" t="s">
        <v>216</v>
      </c>
      <c r="Q99" s="179" t="s">
        <v>217</v>
      </c>
      <c r="R99" s="179" t="s">
        <v>218</v>
      </c>
      <c r="S99" s="179" t="s">
        <v>219</v>
      </c>
      <c r="T99" s="179" t="s">
        <v>220</v>
      </c>
      <c r="U99" s="179" t="s">
        <v>221</v>
      </c>
      <c r="V99" s="179" t="s">
        <v>222</v>
      </c>
      <c r="W99" s="179" t="s">
        <v>223</v>
      </c>
      <c r="X99" s="172"/>
      <c r="Y99" s="314"/>
      <c r="Z99" s="179" t="s">
        <v>212</v>
      </c>
      <c r="AA99" s="179" t="s">
        <v>213</v>
      </c>
      <c r="AB99" s="179" t="s">
        <v>214</v>
      </c>
      <c r="AC99" s="315" t="s">
        <v>195</v>
      </c>
      <c r="AD99" s="179" t="s">
        <v>215</v>
      </c>
      <c r="AE99" s="179" t="s">
        <v>216</v>
      </c>
      <c r="AF99" s="179" t="s">
        <v>217</v>
      </c>
      <c r="AG99" s="316" t="s">
        <v>193</v>
      </c>
      <c r="AH99" s="179" t="s">
        <v>218</v>
      </c>
      <c r="AI99" s="179" t="s">
        <v>219</v>
      </c>
      <c r="AJ99" s="461" t="s">
        <v>220</v>
      </c>
      <c r="AK99" s="316" t="s">
        <v>194</v>
      </c>
      <c r="AL99" s="599"/>
      <c r="AM99" s="179" t="s">
        <v>221</v>
      </c>
      <c r="AN99" s="179" t="s">
        <v>222</v>
      </c>
      <c r="AO99" s="179" t="s">
        <v>223</v>
      </c>
      <c r="AP99" s="347" t="s">
        <v>196</v>
      </c>
      <c r="AQ99" s="1409"/>
      <c r="AR99" s="1426"/>
      <c r="AS99" s="1409"/>
      <c r="AT99" s="218"/>
      <c r="AU99" s="179" t="s">
        <v>212</v>
      </c>
      <c r="AV99" s="179" t="s">
        <v>213</v>
      </c>
      <c r="AW99" s="179" t="s">
        <v>214</v>
      </c>
      <c r="AX99" s="285" t="s">
        <v>369</v>
      </c>
      <c r="AY99" s="179" t="s">
        <v>215</v>
      </c>
      <c r="AZ99" s="179" t="s">
        <v>216</v>
      </c>
      <c r="BA99" s="179" t="s">
        <v>217</v>
      </c>
      <c r="BB99" s="285" t="s">
        <v>370</v>
      </c>
      <c r="BC99" s="179" t="s">
        <v>218</v>
      </c>
      <c r="BD99" s="179" t="s">
        <v>219</v>
      </c>
      <c r="BE99" s="179" t="s">
        <v>220</v>
      </c>
      <c r="BF99" s="285" t="s">
        <v>371</v>
      </c>
      <c r="BG99" s="179" t="s">
        <v>221</v>
      </c>
      <c r="BH99" s="179" t="s">
        <v>222</v>
      </c>
      <c r="BI99" s="179" t="s">
        <v>223</v>
      </c>
      <c r="BJ99" s="285" t="s">
        <v>373</v>
      </c>
      <c r="BK99" s="1413"/>
      <c r="BL99" s="1414"/>
      <c r="BM99" s="179" t="s">
        <v>212</v>
      </c>
      <c r="BN99" s="179" t="s">
        <v>213</v>
      </c>
      <c r="BO99" s="179" t="s">
        <v>214</v>
      </c>
      <c r="BP99" s="182" t="s">
        <v>195</v>
      </c>
      <c r="BQ99" s="179" t="s">
        <v>215</v>
      </c>
      <c r="BR99" s="179" t="s">
        <v>216</v>
      </c>
      <c r="BS99" s="179" t="s">
        <v>217</v>
      </c>
      <c r="BT99" s="286" t="s">
        <v>193</v>
      </c>
      <c r="BU99" s="179" t="s">
        <v>218</v>
      </c>
      <c r="BV99" s="179" t="s">
        <v>219</v>
      </c>
      <c r="BW99" s="179" t="s">
        <v>220</v>
      </c>
      <c r="BX99" s="286" t="s">
        <v>194</v>
      </c>
      <c r="BY99" s="179" t="s">
        <v>221</v>
      </c>
      <c r="BZ99" s="179" t="s">
        <v>222</v>
      </c>
      <c r="CA99" s="179" t="s">
        <v>223</v>
      </c>
      <c r="CB99" s="90" t="s">
        <v>196</v>
      </c>
      <c r="CC99" s="1428"/>
      <c r="CD99" s="1421"/>
      <c r="CE99" s="1409"/>
      <c r="CF99" s="1409"/>
    </row>
    <row r="100" spans="1:84" ht="27.75" customHeight="1" thickBot="1">
      <c r="A100" s="4">
        <v>7</v>
      </c>
      <c r="B100" s="334" t="s">
        <v>28</v>
      </c>
      <c r="C100" s="335"/>
      <c r="D100" s="335"/>
      <c r="E100" s="336"/>
      <c r="F100" s="336"/>
      <c r="G100" s="336"/>
      <c r="H100" s="336"/>
      <c r="I100" s="337"/>
      <c r="J100" s="337"/>
      <c r="K100" s="336"/>
      <c r="L100" s="336"/>
      <c r="M100" s="336"/>
      <c r="N100" s="336"/>
      <c r="O100" s="336"/>
      <c r="P100" s="336"/>
      <c r="Q100" s="336"/>
      <c r="R100" s="336"/>
      <c r="S100" s="336"/>
      <c r="T100" s="336"/>
      <c r="U100" s="336"/>
      <c r="V100" s="336"/>
      <c r="W100" s="336"/>
      <c r="X100" s="336"/>
      <c r="Y100" s="338"/>
      <c r="Z100" s="337"/>
      <c r="AA100" s="337"/>
      <c r="AB100" s="337"/>
      <c r="AC100" s="348"/>
      <c r="AD100" s="337"/>
      <c r="AE100" s="337"/>
      <c r="AF100" s="337"/>
      <c r="AG100" s="337"/>
      <c r="AH100" s="337"/>
      <c r="AI100" s="337"/>
      <c r="AJ100" s="481"/>
      <c r="AK100" s="337"/>
      <c r="AL100" s="340"/>
      <c r="AM100" s="337"/>
      <c r="AN100" s="337"/>
      <c r="AO100" s="337"/>
      <c r="AP100" s="349"/>
      <c r="AQ100" s="337"/>
      <c r="AR100" s="336"/>
      <c r="AS100" s="337"/>
      <c r="AT100" s="161"/>
      <c r="AU100" s="340"/>
      <c r="AV100" s="340"/>
      <c r="AW100" s="340"/>
      <c r="AX100" s="340"/>
      <c r="AY100" s="340"/>
      <c r="AZ100" s="340"/>
      <c r="BA100" s="340"/>
      <c r="BB100" s="340"/>
      <c r="BC100" s="340"/>
      <c r="BD100" s="340"/>
      <c r="BE100" s="340"/>
      <c r="BF100" s="340"/>
      <c r="BG100" s="340"/>
      <c r="BH100" s="340"/>
      <c r="BI100" s="340"/>
      <c r="BJ100" s="340"/>
      <c r="BK100" s="340"/>
      <c r="BL100" s="428"/>
      <c r="BM100" s="341"/>
      <c r="BN100" s="341"/>
      <c r="BO100" s="341"/>
      <c r="BP100" s="295"/>
      <c r="BQ100" s="340"/>
      <c r="BR100" s="340"/>
      <c r="BS100" s="340"/>
      <c r="BT100" s="295"/>
      <c r="BU100" s="340"/>
      <c r="BV100" s="340"/>
      <c r="BW100" s="340"/>
      <c r="BX100" s="295"/>
      <c r="BY100" s="340"/>
      <c r="BZ100" s="340"/>
      <c r="CA100" s="340"/>
      <c r="CB100" s="91"/>
      <c r="CC100" s="342"/>
      <c r="CD100" s="337"/>
      <c r="CE100" s="337"/>
      <c r="CF100" s="336"/>
    </row>
    <row r="101" spans="2:84" ht="42.75" customHeight="1" thickBot="1">
      <c r="B101" s="35"/>
      <c r="C101" s="350"/>
      <c r="D101" s="350"/>
      <c r="E101" s="33"/>
      <c r="F101" s="351"/>
      <c r="G101" s="351"/>
      <c r="H101" s="35"/>
      <c r="I101" s="93"/>
      <c r="J101" s="93"/>
      <c r="K101" s="351"/>
      <c r="L101" s="351"/>
      <c r="M101" s="351"/>
      <c r="N101" s="351"/>
      <c r="O101" s="351"/>
      <c r="P101" s="351"/>
      <c r="Q101" s="351"/>
      <c r="R101" s="351"/>
      <c r="S101" s="351"/>
      <c r="T101" s="351"/>
      <c r="U101" s="351"/>
      <c r="V101" s="351"/>
      <c r="W101" s="351"/>
      <c r="X101" s="351"/>
      <c r="Y101" s="533">
        <f>+BK101</f>
        <v>0</v>
      </c>
      <c r="Z101" s="351"/>
      <c r="AA101" s="351"/>
      <c r="AB101" s="351"/>
      <c r="AC101" s="351"/>
      <c r="AD101" s="351"/>
      <c r="AE101" s="351"/>
      <c r="AF101" s="351"/>
      <c r="AG101" s="351"/>
      <c r="AH101" s="351"/>
      <c r="AI101" s="351"/>
      <c r="AJ101" s="483"/>
      <c r="AK101" s="351"/>
      <c r="AL101" s="604"/>
      <c r="AM101" s="351"/>
      <c r="AN101" s="351"/>
      <c r="AO101" s="351"/>
      <c r="AP101" s="351"/>
      <c r="AQ101" s="351"/>
      <c r="AR101" s="351"/>
      <c r="AS101" s="351"/>
      <c r="AT101" s="161"/>
      <c r="AU101" s="352">
        <v>0</v>
      </c>
      <c r="AV101" s="352">
        <v>0</v>
      </c>
      <c r="AW101" s="352">
        <v>0</v>
      </c>
      <c r="AX101" s="232">
        <f>SUM(AU101:AW101)</f>
        <v>0</v>
      </c>
      <c r="AY101" s="352">
        <v>0</v>
      </c>
      <c r="AZ101" s="352">
        <v>0</v>
      </c>
      <c r="BA101" s="352">
        <v>0</v>
      </c>
      <c r="BB101" s="60">
        <f>SUM(AY101:BA101)</f>
        <v>0</v>
      </c>
      <c r="BC101" s="352">
        <v>0</v>
      </c>
      <c r="BD101" s="352">
        <v>0</v>
      </c>
      <c r="BE101" s="352">
        <v>0</v>
      </c>
      <c r="BF101" s="60">
        <f>SUM(BC101:BE101)</f>
        <v>0</v>
      </c>
      <c r="BG101" s="352">
        <v>0</v>
      </c>
      <c r="BH101" s="352">
        <v>0</v>
      </c>
      <c r="BI101" s="352">
        <v>0</v>
      </c>
      <c r="BJ101" s="60">
        <f>SUM(BG101:BI101)</f>
        <v>0</v>
      </c>
      <c r="BK101" s="70">
        <f>+BJ101+BF101+BB101+AX101</f>
        <v>0</v>
      </c>
      <c r="BL101" s="423"/>
      <c r="BM101" s="352">
        <v>0</v>
      </c>
      <c r="BN101" s="352">
        <v>0</v>
      </c>
      <c r="BO101" s="352">
        <v>0</v>
      </c>
      <c r="BP101" s="377"/>
      <c r="BQ101" s="352">
        <v>0</v>
      </c>
      <c r="BR101" s="352">
        <v>0</v>
      </c>
      <c r="BS101" s="352">
        <v>0</v>
      </c>
      <c r="BT101" s="377"/>
      <c r="BU101" s="352">
        <v>0</v>
      </c>
      <c r="BV101" s="352">
        <v>0</v>
      </c>
      <c r="BW101" s="352">
        <v>0</v>
      </c>
      <c r="BX101" s="377"/>
      <c r="BY101" s="352">
        <v>0</v>
      </c>
      <c r="BZ101" s="352">
        <v>0</v>
      </c>
      <c r="CA101" s="352">
        <v>0</v>
      </c>
      <c r="CB101" s="581" t="e">
        <f>+(BY101+BZ101+CA101)/(BG101+BH101+BI101)</f>
        <v>#DIV/0!</v>
      </c>
      <c r="CC101" s="201">
        <f>+BM101+BN101+BO101+BQ101+BR101+BS101+BU101+BV101+BW101+BY101+BZ101+CA101</f>
        <v>0</v>
      </c>
      <c r="CD101" s="352"/>
      <c r="CE101" s="352"/>
      <c r="CF101" s="353"/>
    </row>
    <row r="102" spans="2:84" ht="11.25">
      <c r="B102" s="354"/>
      <c r="C102" s="355"/>
      <c r="D102" s="355"/>
      <c r="E102" s="356"/>
      <c r="F102" s="356"/>
      <c r="G102" s="356"/>
      <c r="H102" s="356"/>
      <c r="I102" s="357"/>
      <c r="J102" s="357"/>
      <c r="K102" s="351"/>
      <c r="L102" s="356"/>
      <c r="M102" s="356"/>
      <c r="N102" s="356"/>
      <c r="O102" s="356"/>
      <c r="P102" s="356"/>
      <c r="Q102" s="356"/>
      <c r="R102" s="356"/>
      <c r="S102" s="356"/>
      <c r="T102" s="356"/>
      <c r="U102" s="356"/>
      <c r="V102" s="356"/>
      <c r="W102" s="356"/>
      <c r="X102" s="356"/>
      <c r="Y102" s="358"/>
      <c r="Z102" s="357"/>
      <c r="AA102" s="357"/>
      <c r="AB102" s="357"/>
      <c r="AC102" s="359"/>
      <c r="AD102" s="357"/>
      <c r="AE102" s="357"/>
      <c r="AF102" s="357"/>
      <c r="AG102" s="357"/>
      <c r="AH102" s="357"/>
      <c r="AI102" s="357"/>
      <c r="AJ102" s="484"/>
      <c r="AK102" s="357"/>
      <c r="AL102" s="352"/>
      <c r="AM102" s="357"/>
      <c r="AN102" s="357"/>
      <c r="AO102" s="357"/>
      <c r="AP102" s="360"/>
      <c r="AQ102" s="357"/>
      <c r="AR102" s="571"/>
      <c r="AS102" s="357"/>
      <c r="AT102" s="161"/>
      <c r="AU102" s="352">
        <f>SUM(AU101)</f>
        <v>0</v>
      </c>
      <c r="AV102" s="352">
        <f aca="true" t="shared" si="51" ref="AV102:BI102">SUM(AV101)</f>
        <v>0</v>
      </c>
      <c r="AW102" s="352">
        <f t="shared" si="51"/>
        <v>0</v>
      </c>
      <c r="AX102" s="232">
        <f>SUM(AU102:AW102)</f>
        <v>0</v>
      </c>
      <c r="AY102" s="352">
        <f t="shared" si="51"/>
        <v>0</v>
      </c>
      <c r="AZ102" s="352">
        <f t="shared" si="51"/>
        <v>0</v>
      </c>
      <c r="BA102" s="352">
        <f t="shared" si="51"/>
        <v>0</v>
      </c>
      <c r="BB102" s="60">
        <f>SUM(AY102:BA102)</f>
        <v>0</v>
      </c>
      <c r="BC102" s="352">
        <f t="shared" si="51"/>
        <v>0</v>
      </c>
      <c r="BD102" s="352">
        <f t="shared" si="51"/>
        <v>0</v>
      </c>
      <c r="BE102" s="352">
        <f t="shared" si="51"/>
        <v>0</v>
      </c>
      <c r="BF102" s="60">
        <f>SUM(BC102:BE102)</f>
        <v>0</v>
      </c>
      <c r="BG102" s="352">
        <f t="shared" si="51"/>
        <v>0</v>
      </c>
      <c r="BH102" s="352">
        <f t="shared" si="51"/>
        <v>0</v>
      </c>
      <c r="BI102" s="352">
        <f t="shared" si="51"/>
        <v>0</v>
      </c>
      <c r="BJ102" s="60">
        <f>SUM(BG102:BI102)</f>
        <v>0</v>
      </c>
      <c r="BK102" s="70">
        <f>+BJ102+BF102+BB102+AX102</f>
        <v>0</v>
      </c>
      <c r="BL102" s="423"/>
      <c r="BM102" s="352">
        <f>SUM(BM101)</f>
        <v>0</v>
      </c>
      <c r="BN102" s="352">
        <f>SUM(BN101)</f>
        <v>0</v>
      </c>
      <c r="BO102" s="352">
        <f>SUM(BO101)</f>
        <v>0</v>
      </c>
      <c r="BP102" s="376"/>
      <c r="BQ102" s="352">
        <f>SUM(BQ101)</f>
        <v>0</v>
      </c>
      <c r="BR102" s="352">
        <f>SUM(BR101)</f>
        <v>0</v>
      </c>
      <c r="BS102" s="352">
        <f>SUM(BS101)</f>
        <v>0</v>
      </c>
      <c r="BT102" s="378"/>
      <c r="BU102" s="352">
        <f>SUM(BU101)</f>
        <v>0</v>
      </c>
      <c r="BV102" s="352">
        <f>SUM(BV101)</f>
        <v>0</v>
      </c>
      <c r="BW102" s="352">
        <f>SUM(BW101)</f>
        <v>0</v>
      </c>
      <c r="BX102" s="376"/>
      <c r="BY102" s="352">
        <f>SUM(BY101)</f>
        <v>0</v>
      </c>
      <c r="BZ102" s="352">
        <f>SUM(BZ101)</f>
        <v>0</v>
      </c>
      <c r="CA102" s="352">
        <f>SUM(CA101)</f>
        <v>0</v>
      </c>
      <c r="CB102" s="581" t="e">
        <f>+(BY102+BZ102+CA102)/(BG102+BH102+BI102)</f>
        <v>#DIV/0!</v>
      </c>
      <c r="CC102" s="361"/>
      <c r="CD102" s="357"/>
      <c r="CE102" s="357"/>
      <c r="CF102" s="356"/>
    </row>
    <row r="103" spans="2:84" ht="11.25">
      <c r="B103" s="211">
        <v>1</v>
      </c>
      <c r="C103" s="212">
        <v>2</v>
      </c>
      <c r="D103" s="212">
        <v>3</v>
      </c>
      <c r="E103" s="213">
        <v>6</v>
      </c>
      <c r="F103" s="213">
        <v>7</v>
      </c>
      <c r="G103" s="213"/>
      <c r="H103" s="213">
        <v>9</v>
      </c>
      <c r="I103" s="214">
        <v>10</v>
      </c>
      <c r="J103" s="214">
        <v>11</v>
      </c>
      <c r="K103" s="213">
        <v>12</v>
      </c>
      <c r="L103" s="215">
        <v>13</v>
      </c>
      <c r="M103" s="215"/>
      <c r="N103" s="215"/>
      <c r="O103" s="215"/>
      <c r="P103" s="215"/>
      <c r="Q103" s="215"/>
      <c r="R103" s="215"/>
      <c r="S103" s="215"/>
      <c r="T103" s="215"/>
      <c r="U103" s="215"/>
      <c r="V103" s="215"/>
      <c r="W103" s="215"/>
      <c r="X103" s="213">
        <v>14</v>
      </c>
      <c r="Y103" s="160">
        <v>15</v>
      </c>
      <c r="Z103" s="214">
        <v>16</v>
      </c>
      <c r="AA103" s="214"/>
      <c r="AB103" s="214"/>
      <c r="AC103" s="214"/>
      <c r="AD103" s="214"/>
      <c r="AE103" s="214"/>
      <c r="AF103" s="214"/>
      <c r="AG103" s="214"/>
      <c r="AH103" s="214"/>
      <c r="AI103" s="214"/>
      <c r="AJ103" s="458"/>
      <c r="AK103" s="214"/>
      <c r="AL103" s="216"/>
      <c r="AM103" s="214"/>
      <c r="AN103" s="214"/>
      <c r="AO103" s="214"/>
      <c r="AP103" s="214"/>
      <c r="AQ103" s="214">
        <v>17</v>
      </c>
      <c r="AR103" s="564"/>
      <c r="AS103" s="214">
        <v>21</v>
      </c>
      <c r="AT103" s="161"/>
      <c r="AU103" s="216">
        <v>13</v>
      </c>
      <c r="AV103" s="216"/>
      <c r="AW103" s="216"/>
      <c r="AX103" s="216"/>
      <c r="AY103" s="216"/>
      <c r="AZ103" s="216"/>
      <c r="BA103" s="216"/>
      <c r="BB103" s="216"/>
      <c r="BC103" s="216"/>
      <c r="BD103" s="216"/>
      <c r="BE103" s="216"/>
      <c r="BF103" s="216"/>
      <c r="BG103" s="216"/>
      <c r="BH103" s="216"/>
      <c r="BI103" s="216"/>
      <c r="BJ103" s="216"/>
      <c r="BK103" s="216"/>
      <c r="BL103" s="425">
        <v>15</v>
      </c>
      <c r="BM103" s="214">
        <v>16</v>
      </c>
      <c r="BN103" s="214"/>
      <c r="BO103" s="214"/>
      <c r="BP103" s="371"/>
      <c r="BQ103" s="214"/>
      <c r="BR103" s="214"/>
      <c r="BS103" s="214"/>
      <c r="BT103" s="371"/>
      <c r="BU103" s="214"/>
      <c r="BV103" s="214"/>
      <c r="BW103" s="214"/>
      <c r="BX103" s="371"/>
      <c r="BY103" s="214"/>
      <c r="BZ103" s="214"/>
      <c r="CA103" s="214"/>
      <c r="CB103" s="214"/>
      <c r="CC103" s="163">
        <v>17</v>
      </c>
      <c r="CD103" s="214"/>
      <c r="CE103" s="214"/>
      <c r="CF103" s="213">
        <v>21</v>
      </c>
    </row>
    <row r="104" spans="2:84" ht="11.25" customHeight="1" thickBot="1">
      <c r="B104" s="164" t="s">
        <v>4</v>
      </c>
      <c r="C104" s="165"/>
      <c r="D104" s="165"/>
      <c r="E104" s="166"/>
      <c r="F104" s="166"/>
      <c r="G104" s="166"/>
      <c r="H104" s="166"/>
      <c r="I104" s="166"/>
      <c r="J104" s="166"/>
      <c r="K104" s="166"/>
      <c r="L104" s="167"/>
      <c r="M104" s="167"/>
      <c r="N104" s="167" t="s">
        <v>5</v>
      </c>
      <c r="O104" s="167"/>
      <c r="P104" s="167"/>
      <c r="Q104" s="167"/>
      <c r="R104" s="167"/>
      <c r="S104" s="167"/>
      <c r="T104" s="167"/>
      <c r="U104" s="167"/>
      <c r="V104" s="167"/>
      <c r="W104" s="167"/>
      <c r="X104" s="167"/>
      <c r="Y104" s="168"/>
      <c r="Z104" s="169"/>
      <c r="AA104" s="169"/>
      <c r="AB104" s="169"/>
      <c r="AC104" s="169"/>
      <c r="AD104" s="169"/>
      <c r="AE104" s="169"/>
      <c r="AF104" s="169"/>
      <c r="AG104" s="170" t="s">
        <v>281</v>
      </c>
      <c r="AH104" s="169"/>
      <c r="AI104" s="169"/>
      <c r="AJ104" s="480"/>
      <c r="AK104" s="169"/>
      <c r="AL104" s="601"/>
      <c r="AM104" s="169"/>
      <c r="AN104" s="169"/>
      <c r="AO104" s="169"/>
      <c r="AP104" s="169"/>
      <c r="AQ104" s="169"/>
      <c r="AR104" s="559"/>
      <c r="AS104" s="169"/>
      <c r="AT104" s="161"/>
      <c r="AU104" s="171"/>
      <c r="AV104" s="171"/>
      <c r="AW104" s="171"/>
      <c r="AX104" s="171"/>
      <c r="AY104" s="171"/>
      <c r="AZ104" s="171"/>
      <c r="BA104" s="171"/>
      <c r="BB104" s="171"/>
      <c r="BC104" s="171"/>
      <c r="BD104" s="171"/>
      <c r="BE104" s="171"/>
      <c r="BF104" s="171"/>
      <c r="BG104" s="171"/>
      <c r="BH104" s="171"/>
      <c r="BI104" s="171"/>
      <c r="BJ104" s="171"/>
      <c r="BK104" s="171"/>
      <c r="BL104" s="421" t="s">
        <v>6</v>
      </c>
      <c r="BM104" s="169"/>
      <c r="BN104" s="169"/>
      <c r="BO104" s="169"/>
      <c r="BP104" s="281"/>
      <c r="BQ104" s="169"/>
      <c r="BR104" s="169"/>
      <c r="BS104" s="169"/>
      <c r="BT104" s="281"/>
      <c r="BU104" s="169"/>
      <c r="BV104" s="169"/>
      <c r="BW104" s="169"/>
      <c r="BX104" s="281"/>
      <c r="BY104" s="169"/>
      <c r="BZ104" s="169"/>
      <c r="CA104" s="169"/>
      <c r="CB104" s="169"/>
      <c r="CC104" s="217"/>
      <c r="CD104" s="169"/>
      <c r="CE104" s="169"/>
      <c r="CF104" s="170"/>
    </row>
    <row r="105" spans="2:84" ht="31.5" customHeight="1" thickBot="1">
      <c r="B105" s="1422" t="s">
        <v>7</v>
      </c>
      <c r="C105" s="1423" t="s">
        <v>8</v>
      </c>
      <c r="D105" s="1423" t="s">
        <v>9</v>
      </c>
      <c r="E105" s="1424" t="s">
        <v>10</v>
      </c>
      <c r="F105" s="1424" t="s">
        <v>11</v>
      </c>
      <c r="G105" s="1424" t="s">
        <v>12</v>
      </c>
      <c r="H105" s="1424" t="s">
        <v>13</v>
      </c>
      <c r="I105" s="1417" t="s">
        <v>14</v>
      </c>
      <c r="J105" s="1417" t="s">
        <v>15</v>
      </c>
      <c r="K105" s="1417" t="s">
        <v>16</v>
      </c>
      <c r="L105" s="172"/>
      <c r="M105" s="172"/>
      <c r="N105" s="172"/>
      <c r="O105" s="172"/>
      <c r="P105" s="172"/>
      <c r="Q105" s="1418" t="s">
        <v>280</v>
      </c>
      <c r="R105" s="1418"/>
      <c r="S105" s="1418"/>
      <c r="T105" s="1418"/>
      <c r="U105" s="1418"/>
      <c r="V105" s="172"/>
      <c r="W105" s="172"/>
      <c r="X105" s="333"/>
      <c r="Y105" s="314" t="s">
        <v>17</v>
      </c>
      <c r="Z105" s="407"/>
      <c r="AA105" s="408"/>
      <c r="AB105" s="408"/>
      <c r="AC105" s="409"/>
      <c r="AD105" s="408"/>
      <c r="AE105" s="408"/>
      <c r="AF105" s="410" t="s">
        <v>18</v>
      </c>
      <c r="AG105" s="410"/>
      <c r="AH105" s="410"/>
      <c r="AI105" s="410"/>
      <c r="AJ105" s="460"/>
      <c r="AK105" s="408"/>
      <c r="AL105" s="589"/>
      <c r="AM105" s="408"/>
      <c r="AN105" s="408"/>
      <c r="AO105" s="408"/>
      <c r="AP105" s="408"/>
      <c r="AQ105" s="1412" t="s">
        <v>282</v>
      </c>
      <c r="AR105" s="1419" t="s">
        <v>19</v>
      </c>
      <c r="AS105" s="1412" t="s">
        <v>20</v>
      </c>
      <c r="AT105" s="218"/>
      <c r="AU105" s="177"/>
      <c r="AV105" s="177"/>
      <c r="AW105" s="177"/>
      <c r="AX105" s="177"/>
      <c r="AY105" s="177"/>
      <c r="AZ105" s="1413" t="s">
        <v>283</v>
      </c>
      <c r="BA105" s="1413"/>
      <c r="BB105" s="1413"/>
      <c r="BC105" s="1413"/>
      <c r="BD105" s="1413"/>
      <c r="BE105" s="177"/>
      <c r="BF105" s="177"/>
      <c r="BG105" s="177"/>
      <c r="BH105" s="177"/>
      <c r="BI105" s="177"/>
      <c r="BJ105" s="177"/>
      <c r="BK105" s="1413" t="s">
        <v>284</v>
      </c>
      <c r="BL105" s="1414" t="s">
        <v>285</v>
      </c>
      <c r="BM105" s="173"/>
      <c r="BN105" s="173"/>
      <c r="BO105" s="173"/>
      <c r="BP105" s="178"/>
      <c r="BQ105" s="173"/>
      <c r="BR105" s="178"/>
      <c r="BS105" s="178" t="s">
        <v>286</v>
      </c>
      <c r="BT105" s="178"/>
      <c r="BU105" s="173"/>
      <c r="BV105" s="173"/>
      <c r="BW105" s="173"/>
      <c r="BX105" s="178"/>
      <c r="BY105" s="173"/>
      <c r="BZ105" s="173"/>
      <c r="CA105" s="173"/>
      <c r="CB105" s="173"/>
      <c r="CC105" s="1415" t="s">
        <v>287</v>
      </c>
      <c r="CD105" s="1416" t="s">
        <v>253</v>
      </c>
      <c r="CE105" s="1369" t="s">
        <v>19</v>
      </c>
      <c r="CF105" s="1369" t="s">
        <v>20</v>
      </c>
    </row>
    <row r="106" spans="2:84" ht="44.25" customHeight="1">
      <c r="B106" s="1422"/>
      <c r="C106" s="1423"/>
      <c r="D106" s="1423"/>
      <c r="E106" s="1424"/>
      <c r="F106" s="1424"/>
      <c r="G106" s="1424"/>
      <c r="H106" s="1424"/>
      <c r="I106" s="1417"/>
      <c r="J106" s="1417"/>
      <c r="K106" s="1417"/>
      <c r="L106" s="179" t="s">
        <v>212</v>
      </c>
      <c r="M106" s="179" t="s">
        <v>213</v>
      </c>
      <c r="N106" s="179" t="s">
        <v>214</v>
      </c>
      <c r="O106" s="179" t="s">
        <v>215</v>
      </c>
      <c r="P106" s="179" t="s">
        <v>216</v>
      </c>
      <c r="Q106" s="179" t="s">
        <v>217</v>
      </c>
      <c r="R106" s="179" t="s">
        <v>218</v>
      </c>
      <c r="S106" s="179" t="s">
        <v>219</v>
      </c>
      <c r="T106" s="179" t="s">
        <v>220</v>
      </c>
      <c r="U106" s="179" t="s">
        <v>221</v>
      </c>
      <c r="V106" s="179" t="s">
        <v>222</v>
      </c>
      <c r="W106" s="179" t="s">
        <v>223</v>
      </c>
      <c r="X106" s="172"/>
      <c r="Y106" s="314"/>
      <c r="Z106" s="179" t="s">
        <v>212</v>
      </c>
      <c r="AA106" s="179" t="s">
        <v>213</v>
      </c>
      <c r="AB106" s="179" t="s">
        <v>214</v>
      </c>
      <c r="AC106" s="104" t="s">
        <v>195</v>
      </c>
      <c r="AD106" s="179" t="s">
        <v>215</v>
      </c>
      <c r="AE106" s="179" t="s">
        <v>216</v>
      </c>
      <c r="AF106" s="179" t="s">
        <v>217</v>
      </c>
      <c r="AG106" s="180" t="s">
        <v>193</v>
      </c>
      <c r="AH106" s="179" t="s">
        <v>218</v>
      </c>
      <c r="AI106" s="179" t="s">
        <v>219</v>
      </c>
      <c r="AJ106" s="461" t="s">
        <v>220</v>
      </c>
      <c r="AK106" s="180" t="s">
        <v>194</v>
      </c>
      <c r="AL106" s="590"/>
      <c r="AM106" s="179" t="s">
        <v>221</v>
      </c>
      <c r="AN106" s="179" t="s">
        <v>222</v>
      </c>
      <c r="AO106" s="179" t="s">
        <v>223</v>
      </c>
      <c r="AP106" s="180" t="s">
        <v>196</v>
      </c>
      <c r="AQ106" s="1412"/>
      <c r="AR106" s="1419"/>
      <c r="AS106" s="1412"/>
      <c r="AT106" s="218"/>
      <c r="AU106" s="179" t="s">
        <v>212</v>
      </c>
      <c r="AV106" s="179" t="s">
        <v>213</v>
      </c>
      <c r="AW106" s="179" t="s">
        <v>214</v>
      </c>
      <c r="AX106" s="285" t="s">
        <v>369</v>
      </c>
      <c r="AY106" s="179" t="s">
        <v>215</v>
      </c>
      <c r="AZ106" s="179" t="s">
        <v>216</v>
      </c>
      <c r="BA106" s="179" t="s">
        <v>217</v>
      </c>
      <c r="BB106" s="285" t="s">
        <v>370</v>
      </c>
      <c r="BC106" s="179" t="s">
        <v>218</v>
      </c>
      <c r="BD106" s="179" t="s">
        <v>219</v>
      </c>
      <c r="BE106" s="179" t="s">
        <v>220</v>
      </c>
      <c r="BF106" s="285" t="s">
        <v>371</v>
      </c>
      <c r="BG106" s="179" t="s">
        <v>221</v>
      </c>
      <c r="BH106" s="179" t="s">
        <v>222</v>
      </c>
      <c r="BI106" s="179" t="s">
        <v>223</v>
      </c>
      <c r="BJ106" s="285" t="s">
        <v>373</v>
      </c>
      <c r="BK106" s="1413"/>
      <c r="BL106" s="1414"/>
      <c r="BM106" s="179" t="s">
        <v>212</v>
      </c>
      <c r="BN106" s="179" t="s">
        <v>213</v>
      </c>
      <c r="BO106" s="179" t="s">
        <v>214</v>
      </c>
      <c r="BP106" s="182" t="s">
        <v>195</v>
      </c>
      <c r="BQ106" s="179" t="s">
        <v>215</v>
      </c>
      <c r="BR106" s="179" t="s">
        <v>216</v>
      </c>
      <c r="BS106" s="179" t="s">
        <v>217</v>
      </c>
      <c r="BT106" s="286" t="s">
        <v>193</v>
      </c>
      <c r="BU106" s="179" t="s">
        <v>218</v>
      </c>
      <c r="BV106" s="179" t="s">
        <v>219</v>
      </c>
      <c r="BW106" s="179" t="s">
        <v>220</v>
      </c>
      <c r="BX106" s="286" t="s">
        <v>194</v>
      </c>
      <c r="BY106" s="179" t="s">
        <v>221</v>
      </c>
      <c r="BZ106" s="179" t="s">
        <v>222</v>
      </c>
      <c r="CA106" s="179" t="s">
        <v>223</v>
      </c>
      <c r="CB106" s="90" t="s">
        <v>196</v>
      </c>
      <c r="CC106" s="1415"/>
      <c r="CD106" s="1416"/>
      <c r="CE106" s="1409"/>
      <c r="CF106" s="1409"/>
    </row>
    <row r="107" spans="1:84" ht="22.5" customHeight="1" thickBot="1">
      <c r="A107" s="4">
        <v>8</v>
      </c>
      <c r="B107" s="334" t="s">
        <v>29</v>
      </c>
      <c r="C107" s="335"/>
      <c r="D107" s="335"/>
      <c r="E107" s="336"/>
      <c r="F107" s="336"/>
      <c r="G107" s="336"/>
      <c r="H107" s="336"/>
      <c r="I107" s="337"/>
      <c r="J107" s="337"/>
      <c r="K107" s="336"/>
      <c r="L107" s="336"/>
      <c r="M107" s="336"/>
      <c r="N107" s="336"/>
      <c r="O107" s="336"/>
      <c r="P107" s="336"/>
      <c r="Q107" s="336"/>
      <c r="R107" s="336"/>
      <c r="S107" s="336"/>
      <c r="T107" s="336"/>
      <c r="U107" s="336"/>
      <c r="V107" s="336"/>
      <c r="W107" s="336"/>
      <c r="X107" s="336"/>
      <c r="Y107" s="338"/>
      <c r="Z107" s="337"/>
      <c r="AA107" s="337"/>
      <c r="AB107" s="337"/>
      <c r="AC107" s="339"/>
      <c r="AD107" s="337"/>
      <c r="AE107" s="337"/>
      <c r="AF107" s="337"/>
      <c r="AG107" s="187"/>
      <c r="AH107" s="337"/>
      <c r="AI107" s="337"/>
      <c r="AJ107" s="481"/>
      <c r="AK107" s="187"/>
      <c r="AL107" s="586"/>
      <c r="AM107" s="337"/>
      <c r="AN107" s="337"/>
      <c r="AO107" s="337"/>
      <c r="AP107" s="187"/>
      <c r="AQ107" s="337"/>
      <c r="AR107" s="336"/>
      <c r="AS107" s="337"/>
      <c r="AT107" s="161"/>
      <c r="AU107" s="340"/>
      <c r="AV107" s="340"/>
      <c r="AW107" s="340"/>
      <c r="AX107" s="340"/>
      <c r="AY107" s="340"/>
      <c r="AZ107" s="340"/>
      <c r="BA107" s="340"/>
      <c r="BB107" s="340"/>
      <c r="BC107" s="340"/>
      <c r="BD107" s="340"/>
      <c r="BE107" s="340"/>
      <c r="BF107" s="340"/>
      <c r="BG107" s="340"/>
      <c r="BH107" s="340"/>
      <c r="BI107" s="340"/>
      <c r="BJ107" s="340"/>
      <c r="BK107" s="340"/>
      <c r="BL107" s="428"/>
      <c r="BM107" s="341"/>
      <c r="BN107" s="341"/>
      <c r="BO107" s="341"/>
      <c r="BP107" s="295"/>
      <c r="BQ107" s="340"/>
      <c r="BR107" s="340"/>
      <c r="BS107" s="340"/>
      <c r="BT107" s="296"/>
      <c r="BU107" s="340"/>
      <c r="BV107" s="340"/>
      <c r="BW107" s="340"/>
      <c r="BX107" s="296"/>
      <c r="BY107" s="340"/>
      <c r="BZ107" s="340"/>
      <c r="CA107" s="340"/>
      <c r="CB107" s="188"/>
      <c r="CC107" s="342"/>
      <c r="CD107" s="337"/>
      <c r="CE107" s="337"/>
      <c r="CF107" s="336"/>
    </row>
    <row r="108" spans="1:84" ht="34.5" thickBot="1">
      <c r="A108" s="133"/>
      <c r="B108" s="148" t="s">
        <v>199</v>
      </c>
      <c r="C108" s="120" t="s">
        <v>200</v>
      </c>
      <c r="D108" s="120" t="s">
        <v>198</v>
      </c>
      <c r="E108" s="1410" t="s">
        <v>176</v>
      </c>
      <c r="F108" s="1410" t="s">
        <v>177</v>
      </c>
      <c r="G108" s="1410" t="s">
        <v>178</v>
      </c>
      <c r="H108" s="1410" t="s">
        <v>179</v>
      </c>
      <c r="I108" s="1411">
        <v>52</v>
      </c>
      <c r="J108" s="1411">
        <v>96</v>
      </c>
      <c r="K108" s="1410" t="s">
        <v>279</v>
      </c>
      <c r="L108" s="1403">
        <v>8</v>
      </c>
      <c r="M108" s="1403">
        <v>8</v>
      </c>
      <c r="N108" s="1403">
        <v>8</v>
      </c>
      <c r="O108" s="1403">
        <v>8</v>
      </c>
      <c r="P108" s="1403">
        <v>8</v>
      </c>
      <c r="Q108" s="1403">
        <v>8</v>
      </c>
      <c r="R108" s="1403">
        <v>8</v>
      </c>
      <c r="S108" s="1403">
        <v>8</v>
      </c>
      <c r="T108" s="1403">
        <v>8</v>
      </c>
      <c r="U108" s="1403">
        <v>8</v>
      </c>
      <c r="V108" s="1403">
        <v>8</v>
      </c>
      <c r="W108" s="1403">
        <v>8</v>
      </c>
      <c r="X108" s="1408">
        <f>SUM(L108:W108)</f>
        <v>96</v>
      </c>
      <c r="Y108" s="533">
        <f>+BK108</f>
        <v>150500</v>
      </c>
      <c r="Z108" s="1403">
        <v>8</v>
      </c>
      <c r="AA108" s="1403">
        <v>8</v>
      </c>
      <c r="AB108" s="1403">
        <v>8</v>
      </c>
      <c r="AC108" s="1407">
        <f>(Z108+AA108+AB108)/(+L108+M108+N108)</f>
        <v>1</v>
      </c>
      <c r="AD108" s="1403">
        <v>8</v>
      </c>
      <c r="AE108" s="1403">
        <v>8</v>
      </c>
      <c r="AF108" s="1403">
        <v>8</v>
      </c>
      <c r="AG108" s="1405">
        <f>(+AD108+AE108+AF108)/(+O108+P108+Q108)</f>
        <v>1</v>
      </c>
      <c r="AH108" s="1403">
        <v>8</v>
      </c>
      <c r="AI108" s="1403">
        <v>8</v>
      </c>
      <c r="AJ108" s="1406">
        <v>8</v>
      </c>
      <c r="AK108" s="1405">
        <f>+(AH108+AI108+AJ108)/(+R108+S108+T108)</f>
        <v>1</v>
      </c>
      <c r="AL108" s="595"/>
      <c r="AM108" s="1403"/>
      <c r="AN108" s="1403"/>
      <c r="AO108" s="1403"/>
      <c r="AP108" s="1404">
        <f>(AM108+AN108+AO108)/(+U108+V108+W108)</f>
        <v>0</v>
      </c>
      <c r="AQ108" s="83">
        <f>+AO108+AN108+AM108+AJ108+AI108+AH108+AF108+AE108+AD108+AB108+AA108+Z108</f>
        <v>72</v>
      </c>
      <c r="AR108" s="572" t="s">
        <v>180</v>
      </c>
      <c r="AS108" s="82"/>
      <c r="AT108" s="84"/>
      <c r="AU108" s="60">
        <v>13000</v>
      </c>
      <c r="AV108" s="60">
        <v>13000</v>
      </c>
      <c r="AW108" s="60">
        <v>13000</v>
      </c>
      <c r="AX108" s="232">
        <f>SUM(AU108:AW108)</f>
        <v>39000</v>
      </c>
      <c r="AY108" s="60">
        <v>13500</v>
      </c>
      <c r="AZ108" s="60">
        <v>13500</v>
      </c>
      <c r="BA108" s="60">
        <v>15000</v>
      </c>
      <c r="BB108" s="60">
        <f>SUM(AY108:BA108)</f>
        <v>42000</v>
      </c>
      <c r="BC108" s="60">
        <v>13500</v>
      </c>
      <c r="BD108" s="60">
        <v>10000</v>
      </c>
      <c r="BE108" s="60">
        <v>10000</v>
      </c>
      <c r="BF108" s="60">
        <f>SUM(BC108:BE108)</f>
        <v>33500</v>
      </c>
      <c r="BG108" s="60">
        <v>13000</v>
      </c>
      <c r="BH108" s="60">
        <v>13000</v>
      </c>
      <c r="BI108" s="60">
        <v>10000</v>
      </c>
      <c r="BJ108" s="60">
        <f>SUM(BG108:BI108)</f>
        <v>36000</v>
      </c>
      <c r="BK108" s="70">
        <f>+BJ108+BF108+BB108+AX108</f>
        <v>150500</v>
      </c>
      <c r="BL108" s="425"/>
      <c r="BM108" s="85">
        <v>11094.43</v>
      </c>
      <c r="BN108" s="85">
        <v>12543.73</v>
      </c>
      <c r="BO108" s="85">
        <v>13581.35</v>
      </c>
      <c r="BP108" s="267">
        <f>+(BM108+BN108+BO108)/(AU108+AV108+AW108)</f>
        <v>0.9543464102564103</v>
      </c>
      <c r="BQ108" s="86">
        <v>13971.13</v>
      </c>
      <c r="BR108" s="86">
        <v>13519.51</v>
      </c>
      <c r="BS108" s="86">
        <v>14394.1</v>
      </c>
      <c r="BT108" s="266">
        <f>+(BQ108+BR108+BS108)/(AY108+AZ108+BA108)</f>
        <v>0.9972557142857142</v>
      </c>
      <c r="BU108" s="86">
        <v>13871.19</v>
      </c>
      <c r="BV108" s="86">
        <v>9587.16</v>
      </c>
      <c r="BW108" s="86">
        <v>8362.6</v>
      </c>
      <c r="BX108" s="266">
        <f>+(BU108+BV108+BW108)/(BC108+BD108+BE108)</f>
        <v>0.9498791044776118</v>
      </c>
      <c r="BY108" s="86">
        <v>9157.99</v>
      </c>
      <c r="BZ108" s="86">
        <v>9078.28</v>
      </c>
      <c r="CA108" s="86">
        <v>16201.49</v>
      </c>
      <c r="CB108" s="581">
        <f>+(BY108+BZ108+CA108)/(BG108+BH108+BI108)</f>
        <v>0.9566044444444445</v>
      </c>
      <c r="CC108" s="201">
        <f>+BM108+BN108+BO108+BQ108+BR108+BS108+BU108+BV108+BW108+BY108+BZ108+CA108</f>
        <v>145362.96000000002</v>
      </c>
      <c r="CD108" s="132">
        <f>+CC108/BK108</f>
        <v>0.9658668438538207</v>
      </c>
      <c r="CE108" s="88" t="s">
        <v>180</v>
      </c>
      <c r="CF108" s="89" t="s">
        <v>288</v>
      </c>
    </row>
    <row r="109" spans="1:84" ht="34.5" thickBot="1">
      <c r="A109" s="152"/>
      <c r="B109" s="148" t="s">
        <v>204</v>
      </c>
      <c r="C109" s="120" t="s">
        <v>200</v>
      </c>
      <c r="D109" s="120" t="s">
        <v>203</v>
      </c>
      <c r="E109" s="1410"/>
      <c r="F109" s="1410"/>
      <c r="G109" s="1410"/>
      <c r="H109" s="1410"/>
      <c r="I109" s="1411"/>
      <c r="J109" s="1411"/>
      <c r="K109" s="1410"/>
      <c r="L109" s="1403"/>
      <c r="M109" s="1403"/>
      <c r="N109" s="1403"/>
      <c r="O109" s="1403"/>
      <c r="P109" s="1403"/>
      <c r="Q109" s="1403"/>
      <c r="R109" s="1403"/>
      <c r="S109" s="1403"/>
      <c r="T109" s="1403"/>
      <c r="U109" s="1403"/>
      <c r="V109" s="1403"/>
      <c r="W109" s="1403"/>
      <c r="X109" s="1408"/>
      <c r="Y109" s="533">
        <f>+BK109</f>
        <v>15628.3</v>
      </c>
      <c r="Z109" s="1403"/>
      <c r="AA109" s="1403"/>
      <c r="AB109" s="1403"/>
      <c r="AC109" s="1407"/>
      <c r="AD109" s="1403"/>
      <c r="AE109" s="1403"/>
      <c r="AF109" s="1403"/>
      <c r="AG109" s="1405"/>
      <c r="AH109" s="1403"/>
      <c r="AI109" s="1403"/>
      <c r="AJ109" s="1406"/>
      <c r="AK109" s="1405"/>
      <c r="AL109" s="595"/>
      <c r="AM109" s="1403"/>
      <c r="AN109" s="1403"/>
      <c r="AO109" s="1403"/>
      <c r="AP109" s="1404"/>
      <c r="AQ109" s="83">
        <f>+AO109+AN109+AM109+AJ109+AI109+AH109+AF109+AE109+AD109+AB109+AA109+Z109</f>
        <v>0</v>
      </c>
      <c r="AR109" s="572" t="s">
        <v>183</v>
      </c>
      <c r="AS109" s="82"/>
      <c r="AT109" s="84"/>
      <c r="AU109" s="60">
        <v>0</v>
      </c>
      <c r="AV109" s="60">
        <v>0</v>
      </c>
      <c r="AW109" s="60">
        <v>0</v>
      </c>
      <c r="AX109" s="232">
        <f>SUM(AU109:AW109)</f>
        <v>0</v>
      </c>
      <c r="AY109" s="60">
        <v>15630</v>
      </c>
      <c r="AZ109" s="60">
        <v>0</v>
      </c>
      <c r="BA109" s="60">
        <v>0</v>
      </c>
      <c r="BB109" s="60">
        <f>SUM(AY109:BA109)</f>
        <v>15630</v>
      </c>
      <c r="BC109" s="60">
        <v>0</v>
      </c>
      <c r="BD109" s="60">
        <v>0</v>
      </c>
      <c r="BE109" s="60">
        <v>0</v>
      </c>
      <c r="BF109" s="60">
        <f>SUM(BC109:BE109)</f>
        <v>0</v>
      </c>
      <c r="BG109" s="60">
        <v>0</v>
      </c>
      <c r="BH109" s="60">
        <v>0</v>
      </c>
      <c r="BI109" s="60">
        <v>-1.7</v>
      </c>
      <c r="BJ109" s="60">
        <f>SUM(BG109:BI109)</f>
        <v>-1.7</v>
      </c>
      <c r="BK109" s="70">
        <f>+BJ109+BF109+BB109+AX109</f>
        <v>15628.3</v>
      </c>
      <c r="BL109" s="425"/>
      <c r="BM109" s="85">
        <v>0</v>
      </c>
      <c r="BN109" s="85">
        <v>0</v>
      </c>
      <c r="BO109" s="85">
        <v>0</v>
      </c>
      <c r="BP109" s="267"/>
      <c r="BQ109" s="86">
        <v>0</v>
      </c>
      <c r="BR109" s="86">
        <v>15628.3</v>
      </c>
      <c r="BS109" s="86">
        <v>0</v>
      </c>
      <c r="BT109" s="266">
        <f>+(BQ109+BR109+BS109)/(AY109+AZ109+BA109)</f>
        <v>0.9998912348048624</v>
      </c>
      <c r="BU109" s="86"/>
      <c r="BV109" s="86">
        <v>0</v>
      </c>
      <c r="BW109" s="86">
        <v>0</v>
      </c>
      <c r="BX109" s="266"/>
      <c r="BY109" s="86">
        <v>0</v>
      </c>
      <c r="BZ109" s="86">
        <v>0</v>
      </c>
      <c r="CA109" s="86">
        <v>0</v>
      </c>
      <c r="CB109" s="581">
        <f>+(BY109+BZ109+CA109)/(BG109+BH109+BI109)</f>
        <v>0</v>
      </c>
      <c r="CC109" s="201">
        <f>+BM109+BN109+BO109+BQ109+BR109+BS109+BU109+BV109+BW109+BY109+BZ109+CA109</f>
        <v>15628.3</v>
      </c>
      <c r="CD109" s="132">
        <f>+CC109/BK109</f>
        <v>1</v>
      </c>
      <c r="CE109" s="88" t="s">
        <v>183</v>
      </c>
      <c r="CF109" s="89" t="s">
        <v>288</v>
      </c>
    </row>
    <row r="110" spans="1:84" ht="50.25" customHeight="1" thickBot="1">
      <c r="A110" s="24"/>
      <c r="B110" s="148" t="s">
        <v>199</v>
      </c>
      <c r="C110" s="120" t="s">
        <v>200</v>
      </c>
      <c r="D110" s="120" t="s">
        <v>198</v>
      </c>
      <c r="E110" s="79" t="s">
        <v>336</v>
      </c>
      <c r="F110" s="79" t="s">
        <v>181</v>
      </c>
      <c r="G110" s="79" t="s">
        <v>182</v>
      </c>
      <c r="H110" s="79" t="s">
        <v>304</v>
      </c>
      <c r="I110" s="80">
        <v>0</v>
      </c>
      <c r="J110" s="80">
        <v>6</v>
      </c>
      <c r="K110" s="79" t="s">
        <v>305</v>
      </c>
      <c r="L110" s="81">
        <v>1</v>
      </c>
      <c r="M110" s="81">
        <v>1</v>
      </c>
      <c r="N110" s="81">
        <v>1</v>
      </c>
      <c r="O110" s="81">
        <v>1</v>
      </c>
      <c r="P110" s="81">
        <v>1</v>
      </c>
      <c r="Q110" s="81">
        <v>1</v>
      </c>
      <c r="R110" s="81">
        <v>1</v>
      </c>
      <c r="S110" s="81">
        <v>1</v>
      </c>
      <c r="T110" s="81">
        <v>1</v>
      </c>
      <c r="U110" s="81">
        <v>1</v>
      </c>
      <c r="V110" s="81">
        <v>1</v>
      </c>
      <c r="W110" s="81">
        <v>1</v>
      </c>
      <c r="X110" s="534">
        <f>SUM(L110:W110)</f>
        <v>12</v>
      </c>
      <c r="Y110" s="533">
        <f>+BK110</f>
        <v>0</v>
      </c>
      <c r="Z110" s="508">
        <v>1</v>
      </c>
      <c r="AA110" s="100">
        <v>1</v>
      </c>
      <c r="AB110" s="100">
        <v>1</v>
      </c>
      <c r="AC110" s="509">
        <f>(Z110+AA110+AB110)/(+L110+M110+N110)</f>
        <v>1</v>
      </c>
      <c r="AD110" s="100">
        <v>1</v>
      </c>
      <c r="AE110" s="100">
        <v>1</v>
      </c>
      <c r="AF110" s="100">
        <v>1</v>
      </c>
      <c r="AG110" s="510">
        <f>(+AD110+AE110+AF110)/(+O110+P110+Q110)</f>
        <v>1</v>
      </c>
      <c r="AH110" s="100">
        <v>1</v>
      </c>
      <c r="AI110" s="100">
        <v>1</v>
      </c>
      <c r="AJ110" s="511">
        <v>1</v>
      </c>
      <c r="AK110" s="510">
        <f>+(AH110+AI110+AJ110)/(+R110+S110+T110)</f>
        <v>1</v>
      </c>
      <c r="AL110" s="605"/>
      <c r="AM110" s="512"/>
      <c r="AN110" s="512"/>
      <c r="AO110" s="512"/>
      <c r="AP110" s="513">
        <f>(AM110+AN110+AO110)/(+U110+V110+W110)</f>
        <v>0</v>
      </c>
      <c r="AQ110" s="83">
        <f>+AO110+AN110+AM110+AJ110+AI110+AH110+AF110+AE110+AD110+AB110+AA110+Z110</f>
        <v>9</v>
      </c>
      <c r="AR110" s="573" t="s">
        <v>184</v>
      </c>
      <c r="AS110" s="512"/>
      <c r="AT110" s="514"/>
      <c r="AU110" s="515">
        <v>0</v>
      </c>
      <c r="AV110" s="515">
        <v>0</v>
      </c>
      <c r="AW110" s="515">
        <v>0</v>
      </c>
      <c r="AX110" s="232">
        <f>SUM(AU110:AW110)</f>
        <v>0</v>
      </c>
      <c r="AY110" s="515">
        <v>0</v>
      </c>
      <c r="AZ110" s="515">
        <v>0</v>
      </c>
      <c r="BA110" s="515">
        <v>0</v>
      </c>
      <c r="BB110" s="60">
        <f>SUM(AY110:BA110)</f>
        <v>0</v>
      </c>
      <c r="BC110" s="515">
        <v>0</v>
      </c>
      <c r="BD110" s="515">
        <v>0</v>
      </c>
      <c r="BE110" s="60">
        <v>0</v>
      </c>
      <c r="BF110" s="60">
        <f>SUM(BC110:BE110)</f>
        <v>0</v>
      </c>
      <c r="BG110" s="60">
        <v>0</v>
      </c>
      <c r="BH110" s="60">
        <v>0</v>
      </c>
      <c r="BI110" s="60">
        <v>0</v>
      </c>
      <c r="BJ110" s="60">
        <f>SUM(BG110:BI110)</f>
        <v>0</v>
      </c>
      <c r="BK110" s="70">
        <f>+BJ110+BF110+BB110+AX110</f>
        <v>0</v>
      </c>
      <c r="BL110" s="425"/>
      <c r="BM110" s="85">
        <v>0</v>
      </c>
      <c r="BN110" s="85">
        <v>0</v>
      </c>
      <c r="BO110" s="85">
        <v>0</v>
      </c>
      <c r="BP110" s="267"/>
      <c r="BQ110" s="86">
        <v>0</v>
      </c>
      <c r="BR110" s="86">
        <v>0</v>
      </c>
      <c r="BS110" s="86">
        <v>0</v>
      </c>
      <c r="BT110" s="266"/>
      <c r="BU110" s="86">
        <v>0</v>
      </c>
      <c r="BV110" s="86">
        <v>0</v>
      </c>
      <c r="BW110" s="86">
        <v>0</v>
      </c>
      <c r="BX110" s="266"/>
      <c r="BY110" s="86">
        <v>0</v>
      </c>
      <c r="BZ110" s="86">
        <v>0</v>
      </c>
      <c r="CA110" s="86">
        <v>0</v>
      </c>
      <c r="CB110" s="581" t="e">
        <f>+(BY110+BZ110+CA110)/(BG110+BH110+BI110)</f>
        <v>#DIV/0!</v>
      </c>
      <c r="CC110" s="201">
        <f>+BM110+BN110+BO110+BQ110+BR110+BS110+BU110+BV110+BW110+BY110+BZ110+CA110</f>
        <v>0</v>
      </c>
      <c r="CD110" s="87"/>
      <c r="CE110" s="88" t="s">
        <v>184</v>
      </c>
      <c r="CF110" s="447" t="s">
        <v>288</v>
      </c>
    </row>
    <row r="111" spans="1:84" ht="28.5" customHeight="1" thickBot="1">
      <c r="A111" s="24"/>
      <c r="B111" s="149"/>
      <c r="G111" s="19"/>
      <c r="H111" s="18"/>
      <c r="I111" s="45"/>
      <c r="J111" s="45"/>
      <c r="K111" s="18"/>
      <c r="L111" s="20"/>
      <c r="M111" s="20"/>
      <c r="N111" s="20"/>
      <c r="O111" s="20"/>
      <c r="P111" s="20"/>
      <c r="Q111" s="26"/>
      <c r="R111" s="26"/>
      <c r="S111" s="26"/>
      <c r="T111" s="27"/>
      <c r="U111" s="20"/>
      <c r="V111" s="20"/>
      <c r="W111" s="20"/>
      <c r="X111" s="20"/>
      <c r="Y111" s="506">
        <f>SUM(Y108:Y110)</f>
        <v>166128.3</v>
      </c>
      <c r="Z111" s="516"/>
      <c r="AA111" s="517"/>
      <c r="AB111" s="517"/>
      <c r="AC111" s="517"/>
      <c r="AD111" s="517"/>
      <c r="AE111" s="517"/>
      <c r="AF111" s="517"/>
      <c r="AG111" s="517"/>
      <c r="AH111" s="517"/>
      <c r="AI111" s="517"/>
      <c r="AJ111" s="518"/>
      <c r="AK111" s="517"/>
      <c r="AL111" s="606"/>
      <c r="AM111" s="517"/>
      <c r="AN111" s="519"/>
      <c r="AO111" s="520"/>
      <c r="AP111" s="521"/>
      <c r="AQ111" s="521"/>
      <c r="AR111" s="574"/>
      <c r="AS111" s="522"/>
      <c r="AT111" s="523"/>
      <c r="AU111" s="524"/>
      <c r="AV111" s="525"/>
      <c r="AW111" s="525"/>
      <c r="AX111" s="525"/>
      <c r="AY111" s="525"/>
      <c r="AZ111" s="525"/>
      <c r="BA111" s="525"/>
      <c r="BB111" s="525"/>
      <c r="BC111" s="525"/>
      <c r="BD111" s="526"/>
      <c r="BE111" s="615" t="s">
        <v>317</v>
      </c>
      <c r="BF111" s="616"/>
      <c r="BG111" s="616"/>
      <c r="BH111" s="616"/>
      <c r="BI111" s="616"/>
      <c r="BJ111" s="616"/>
      <c r="BK111" s="612">
        <f>SUM(BK108:BK110)</f>
        <v>166128.3</v>
      </c>
      <c r="BL111" s="439"/>
      <c r="BM111" s="441">
        <f>SUM(BM108:BM110)</f>
        <v>11094.43</v>
      </c>
      <c r="BN111" s="442">
        <f>SUM(BN108:BN110)</f>
        <v>12543.73</v>
      </c>
      <c r="BO111" s="441">
        <f>SUM(BO108:BO110)</f>
        <v>13581.35</v>
      </c>
      <c r="BP111" s="443"/>
      <c r="BQ111" s="441">
        <f>SUM(BQ108:BQ110)</f>
        <v>13971.13</v>
      </c>
      <c r="BR111" s="441">
        <f>SUM(BR108:BR110)</f>
        <v>29147.809999999998</v>
      </c>
      <c r="BS111" s="441">
        <f>SUM(BS108:BS110)</f>
        <v>14394.1</v>
      </c>
      <c r="BT111" s="444"/>
      <c r="BU111" s="441">
        <f>SUM(BU108:BU110)</f>
        <v>13871.19</v>
      </c>
      <c r="BV111" s="441">
        <f>SUM(BV108:BV110)</f>
        <v>9587.16</v>
      </c>
      <c r="BW111" s="441">
        <f>SUM(BW108:BW110)</f>
        <v>8362.6</v>
      </c>
      <c r="BX111" s="444"/>
      <c r="BY111" s="441">
        <f>SUM(BY108:BY110)</f>
        <v>9157.99</v>
      </c>
      <c r="BZ111" s="441">
        <f>SUM(BZ108:BZ110)</f>
        <v>9078.28</v>
      </c>
      <c r="CA111" s="441">
        <f>SUM(CA108:CA110)</f>
        <v>16201.49</v>
      </c>
      <c r="CB111" s="445"/>
      <c r="CC111" s="201">
        <f>SUM(CC108:CC110)</f>
        <v>160991.26</v>
      </c>
      <c r="CD111" s="132">
        <f>+CC111/Y111</f>
        <v>0.9690778753529653</v>
      </c>
      <c r="CE111" s="446"/>
      <c r="CF111" s="416"/>
    </row>
    <row r="112" spans="1:84" s="112" customFormat="1" ht="26.25" customHeight="1" thickBot="1">
      <c r="A112" s="440"/>
      <c r="B112" s="491"/>
      <c r="C112" s="492"/>
      <c r="D112" s="492"/>
      <c r="E112" s="440"/>
      <c r="F112" s="440"/>
      <c r="G112" s="490"/>
      <c r="H112" s="489"/>
      <c r="I112" s="493"/>
      <c r="J112" s="494"/>
      <c r="K112" s="494"/>
      <c r="L112" s="494"/>
      <c r="M112" s="495"/>
      <c r="N112" s="495"/>
      <c r="O112" s="495"/>
      <c r="P112" s="495"/>
      <c r="Q112" s="495"/>
      <c r="R112" s="495"/>
      <c r="S112" s="495"/>
      <c r="T112" s="496"/>
      <c r="U112" s="497"/>
      <c r="V112" s="497"/>
      <c r="W112" s="497"/>
      <c r="X112" s="497"/>
      <c r="Y112" s="507">
        <f>+Y14+Y28+Y54+Y77+Y86+Y94+Y102+Y111</f>
        <v>30254898.85</v>
      </c>
      <c r="Z112" s="527"/>
      <c r="AA112" s="528"/>
      <c r="AB112" s="528"/>
      <c r="AC112" s="528"/>
      <c r="AD112" s="528"/>
      <c r="AE112" s="528"/>
      <c r="AF112" s="528"/>
      <c r="AG112" s="528"/>
      <c r="AH112" s="528"/>
      <c r="AI112" s="528"/>
      <c r="AJ112" s="529"/>
      <c r="AK112" s="528"/>
      <c r="AL112" s="607"/>
      <c r="AM112" s="528"/>
      <c r="AN112" s="530"/>
      <c r="AO112" s="531"/>
      <c r="AP112" s="532"/>
      <c r="AQ112" s="532"/>
      <c r="AR112" s="575"/>
      <c r="AS112" s="532"/>
      <c r="AT112" s="617"/>
      <c r="AU112" s="618"/>
      <c r="AV112" s="618"/>
      <c r="AW112" s="618"/>
      <c r="AX112" s="618"/>
      <c r="AY112" s="618"/>
      <c r="AZ112" s="618"/>
      <c r="BA112" s="618"/>
      <c r="BB112" s="618"/>
      <c r="BC112" s="618"/>
      <c r="BD112" s="619"/>
      <c r="BE112" s="1390" t="s">
        <v>334</v>
      </c>
      <c r="BF112" s="1391"/>
      <c r="BG112" s="1391"/>
      <c r="BH112" s="1391"/>
      <c r="BI112" s="1391"/>
      <c r="BJ112" s="1392"/>
      <c r="BK112" s="498">
        <f>+BK14+BK28+BK54+BK77+BK86+BK94+BK102+BK111</f>
        <v>30254898.85</v>
      </c>
      <c r="BL112" s="439"/>
      <c r="BM112" s="498">
        <f>+BM14+BM28+BM54+BM77+BM86+BM94+BM102+BM111</f>
        <v>1167336.3499999996</v>
      </c>
      <c r="BN112" s="499">
        <f>+BN14+BN28+BN54+BN77+BN86+BN94+BN102+BN111</f>
        <v>2134511.5300000003</v>
      </c>
      <c r="BO112" s="498">
        <f>+BO14+BO28+BO54+BO77+BO86+BO94+BO102+BO111</f>
        <v>2063098.4200000002</v>
      </c>
      <c r="BP112" s="500"/>
      <c r="BQ112" s="498">
        <f>+BQ14+BQ28+BQ54+BQ77+BQ86+BQ94+BQ102+BQ111</f>
        <v>2534879.28</v>
      </c>
      <c r="BR112" s="498">
        <f>+BR14+BR28+BR54+BR77+BR86+BR94+BR102+BR111</f>
        <v>2509761.31</v>
      </c>
      <c r="BS112" s="498">
        <f>+BS14+BS28+BS54+BS77+BS86+BS94+BS102+BS111</f>
        <v>2775592.31</v>
      </c>
      <c r="BT112" s="501"/>
      <c r="BU112" s="498">
        <f>+BU14+BU28+BU54+BU77+BU86+BU94+BU102+BU111</f>
        <v>1950402.33</v>
      </c>
      <c r="BV112" s="498">
        <f>+BV14+BV28+BV54+BV77+BV86+BV94+BV102+BV111</f>
        <v>2872632.3400000003</v>
      </c>
      <c r="BW112" s="498">
        <f>+BW14+BW28+BW54+BW77+BW86+BW94+BW102+BW111</f>
        <v>1934695.3000000003</v>
      </c>
      <c r="BX112" s="501"/>
      <c r="BY112" s="498">
        <f>+BY14+BY28+BY54+BY77+BY86+BY94+BY102+BY111</f>
        <v>2643584.02</v>
      </c>
      <c r="BZ112" s="499">
        <f>+BZ14+BZ28+BZ54+BZ77+BZ86+BZ94+BZ102+BZ111</f>
        <v>2643199.36</v>
      </c>
      <c r="CA112" s="498">
        <f>+CA14+CA28+CA54+CA77+CA86+CA94+CA102+CA111</f>
        <v>3938155.45</v>
      </c>
      <c r="CB112" s="502"/>
      <c r="CC112" s="498">
        <f>+CC14+CC28+CC54+CC77+CC86+CC94+CC102+CC111</f>
        <v>29167536.969999995</v>
      </c>
      <c r="CD112" s="505">
        <f>+CC112/BK112</f>
        <v>0.9640599730512731</v>
      </c>
      <c r="CE112" s="503"/>
      <c r="CF112" s="504"/>
    </row>
    <row r="113" spans="1:84" ht="43.5" customHeight="1" thickBot="1">
      <c r="A113" s="24"/>
      <c r="B113" s="1396" t="s">
        <v>337</v>
      </c>
      <c r="C113" s="1397"/>
      <c r="D113" s="488" t="s">
        <v>338</v>
      </c>
      <c r="E113" s="1398" t="s">
        <v>339</v>
      </c>
      <c r="F113" s="1399"/>
      <c r="G113" s="1399"/>
      <c r="H113" s="1399"/>
      <c r="I113" s="1399"/>
      <c r="J113" s="1399"/>
      <c r="K113" s="1400"/>
      <c r="L113" s="19"/>
      <c r="M113" s="26"/>
      <c r="N113" s="26"/>
      <c r="O113" s="26"/>
      <c r="P113" s="26"/>
      <c r="Q113" s="26"/>
      <c r="R113" s="26"/>
      <c r="S113" s="26"/>
      <c r="T113" s="27"/>
      <c r="U113" s="20"/>
      <c r="V113" s="20"/>
      <c r="W113" s="20"/>
      <c r="X113" s="20"/>
      <c r="Y113" s="125">
        <v>30254898.85</v>
      </c>
      <c r="Z113" s="45"/>
      <c r="AA113" s="45"/>
      <c r="AB113" s="45"/>
      <c r="AC113" s="66"/>
      <c r="AD113" s="45"/>
      <c r="AE113" s="45"/>
      <c r="AF113" s="45"/>
      <c r="AG113" s="45"/>
      <c r="AH113" s="45"/>
      <c r="AI113" s="45"/>
      <c r="AJ113" s="485"/>
      <c r="AK113" s="45"/>
      <c r="AL113" s="73"/>
      <c r="AM113" s="45"/>
      <c r="AN113" s="45"/>
      <c r="AO113" s="45"/>
      <c r="AP113" s="45"/>
      <c r="AQ113" s="45"/>
      <c r="AR113" s="27"/>
      <c r="AS113" s="47"/>
      <c r="AU113" s="74"/>
      <c r="AV113" s="73"/>
      <c r="AW113" s="73"/>
      <c r="AX113" s="73"/>
      <c r="AY113" s="73"/>
      <c r="AZ113" s="73"/>
      <c r="BA113" s="73"/>
      <c r="BB113" s="73"/>
      <c r="BC113" s="73"/>
      <c r="BD113" s="73"/>
      <c r="BE113" s="73"/>
      <c r="BF113" s="73"/>
      <c r="BG113" s="73"/>
      <c r="BH113" s="73"/>
      <c r="BI113" s="73"/>
      <c r="BJ113" s="73"/>
      <c r="BK113" s="73">
        <v>30254898.85</v>
      </c>
      <c r="BL113" s="415"/>
      <c r="BM113" s="75">
        <v>1167336.35</v>
      </c>
      <c r="BN113" s="75">
        <v>2134511.53</v>
      </c>
      <c r="BO113" s="75">
        <v>2063098.42</v>
      </c>
      <c r="BP113" s="141"/>
      <c r="BQ113" s="73">
        <v>2534879.28</v>
      </c>
      <c r="BR113" s="73">
        <v>2509761.18</v>
      </c>
      <c r="BS113" s="73">
        <v>2775592.31</v>
      </c>
      <c r="BT113" s="141"/>
      <c r="BU113" s="73">
        <v>1950402.33</v>
      </c>
      <c r="BV113" s="73">
        <v>2872631.54</v>
      </c>
      <c r="BW113" s="73">
        <v>1934695.3</v>
      </c>
      <c r="BX113" s="141"/>
      <c r="BY113" s="73">
        <v>2643584.02</v>
      </c>
      <c r="BZ113" s="73">
        <v>2643199.36</v>
      </c>
      <c r="CA113" s="73">
        <v>3938155.44</v>
      </c>
      <c r="CB113" s="75">
        <f>SUM(BM113:CA113)</f>
        <v>29167847.060000002</v>
      </c>
      <c r="CC113" s="130">
        <v>29167536.97</v>
      </c>
      <c r="CD113" s="73">
        <f>-CC112+BK112</f>
        <v>1087361.8800000064</v>
      </c>
      <c r="CE113" s="45"/>
      <c r="CF113" s="23"/>
    </row>
    <row r="114" spans="1:84" ht="43.5" customHeight="1">
      <c r="A114" s="24"/>
      <c r="B114" s="487"/>
      <c r="C114" s="488"/>
      <c r="D114" s="488" t="s">
        <v>340</v>
      </c>
      <c r="E114" s="1398" t="s">
        <v>341</v>
      </c>
      <c r="F114" s="1399"/>
      <c r="G114" s="1399"/>
      <c r="H114" s="1399"/>
      <c r="I114" s="1399"/>
      <c r="J114" s="1399"/>
      <c r="K114" s="1400"/>
      <c r="L114" s="14" t="s">
        <v>335</v>
      </c>
      <c r="M114" s="14"/>
      <c r="N114" s="14"/>
      <c r="O114" s="14"/>
      <c r="P114" s="14"/>
      <c r="Q114" s="14"/>
      <c r="R114" s="26"/>
      <c r="S114" s="26"/>
      <c r="T114" s="26"/>
      <c r="U114" s="20"/>
      <c r="V114" s="20"/>
      <c r="W114" s="20"/>
      <c r="X114" s="20"/>
      <c r="Y114" s="130">
        <f>+Y112-Y113</f>
        <v>0</v>
      </c>
      <c r="Z114" s="45"/>
      <c r="AA114" s="45"/>
      <c r="AB114" s="45"/>
      <c r="AC114" s="66"/>
      <c r="AD114" s="45"/>
      <c r="AE114" s="45"/>
      <c r="AF114" s="45"/>
      <c r="AG114" s="45"/>
      <c r="AH114" s="45"/>
      <c r="AI114" s="45"/>
      <c r="AJ114" s="485"/>
      <c r="AK114" s="45"/>
      <c r="AL114" s="73"/>
      <c r="AM114" s="45"/>
      <c r="AN114" s="45"/>
      <c r="AO114" s="45"/>
      <c r="AP114" s="45"/>
      <c r="AQ114" s="45"/>
      <c r="AR114" s="27"/>
      <c r="AS114" s="47"/>
      <c r="AV114" s="73"/>
      <c r="AW114" s="73"/>
      <c r="AX114" s="73"/>
      <c r="AY114" s="73"/>
      <c r="AZ114" s="73"/>
      <c r="BA114" s="73"/>
      <c r="BB114" s="73"/>
      <c r="BC114" s="73"/>
      <c r="BD114" s="73"/>
      <c r="BE114" s="73"/>
      <c r="BF114" s="73"/>
      <c r="BG114" s="73"/>
      <c r="BH114" s="72"/>
      <c r="BI114" s="72"/>
      <c r="BJ114" s="72"/>
      <c r="BK114" s="72">
        <f>+BK113-BK112</f>
        <v>0</v>
      </c>
      <c r="BL114" s="418"/>
      <c r="BM114" s="76">
        <f>+BM113-BM112</f>
        <v>0</v>
      </c>
      <c r="BN114" s="76">
        <f aca="true" t="shared" si="52" ref="BN114:CA114">+BN113-BN112</f>
        <v>0</v>
      </c>
      <c r="BO114" s="76">
        <f t="shared" si="52"/>
        <v>0</v>
      </c>
      <c r="BP114" s="76">
        <f t="shared" si="52"/>
        <v>0</v>
      </c>
      <c r="BQ114" s="76">
        <f t="shared" si="52"/>
        <v>0</v>
      </c>
      <c r="BR114" s="76">
        <f t="shared" si="52"/>
        <v>-0.1299999998882413</v>
      </c>
      <c r="BS114" s="76">
        <f t="shared" si="52"/>
        <v>0</v>
      </c>
      <c r="BT114" s="76">
        <f t="shared" si="52"/>
        <v>0</v>
      </c>
      <c r="BU114" s="76">
        <f t="shared" si="52"/>
        <v>0</v>
      </c>
      <c r="BV114" s="76">
        <f t="shared" si="52"/>
        <v>-0.8000000002793968</v>
      </c>
      <c r="BW114" s="76">
        <f t="shared" si="52"/>
        <v>0</v>
      </c>
      <c r="BX114" s="76">
        <f t="shared" si="52"/>
        <v>0</v>
      </c>
      <c r="BY114" s="76">
        <f t="shared" si="52"/>
        <v>0</v>
      </c>
      <c r="BZ114" s="76">
        <f t="shared" si="52"/>
        <v>0</v>
      </c>
      <c r="CA114" s="76">
        <f t="shared" si="52"/>
        <v>-0.01000000024214387</v>
      </c>
      <c r="CB114" s="45"/>
      <c r="CC114" s="130">
        <f>+CC112-CC113</f>
        <v>0</v>
      </c>
      <c r="CD114" s="45"/>
      <c r="CE114" s="45"/>
      <c r="CF114" s="23"/>
    </row>
    <row r="115" spans="1:84" ht="43.5" customHeight="1">
      <c r="A115" s="24"/>
      <c r="B115" s="487"/>
      <c r="C115" s="488"/>
      <c r="D115" s="488" t="s">
        <v>342</v>
      </c>
      <c r="E115" s="1398" t="s">
        <v>343</v>
      </c>
      <c r="F115" s="1399"/>
      <c r="G115" s="1399"/>
      <c r="H115" s="1399"/>
      <c r="I115" s="1399"/>
      <c r="J115" s="1399"/>
      <c r="K115" s="1400"/>
      <c r="L115" s="449"/>
      <c r="M115" s="449"/>
      <c r="N115" s="449"/>
      <c r="O115" s="449"/>
      <c r="P115" s="449"/>
      <c r="Q115" s="449"/>
      <c r="R115" s="26"/>
      <c r="S115" s="26"/>
      <c r="T115" s="26"/>
      <c r="U115" s="20"/>
      <c r="V115" s="20"/>
      <c r="W115" s="20"/>
      <c r="X115" s="20"/>
      <c r="Y115" s="125"/>
      <c r="Z115" s="45"/>
      <c r="AA115" s="45"/>
      <c r="AB115" s="45"/>
      <c r="AC115" s="66"/>
      <c r="AD115" s="45"/>
      <c r="AE115" s="45"/>
      <c r="AF115" s="45"/>
      <c r="AG115" s="45"/>
      <c r="AH115" s="45"/>
      <c r="AI115" s="45"/>
      <c r="AJ115" s="485"/>
      <c r="AK115" s="45"/>
      <c r="AL115" s="73"/>
      <c r="AM115" s="45"/>
      <c r="AN115" s="45"/>
      <c r="AO115" s="45"/>
      <c r="AP115" s="45"/>
      <c r="AQ115" s="45"/>
      <c r="AR115" s="27"/>
      <c r="AS115" s="47"/>
      <c r="AV115" s="73"/>
      <c r="AW115" s="73"/>
      <c r="AX115" s="73"/>
      <c r="AY115" s="73"/>
      <c r="AZ115" s="73"/>
      <c r="BA115" s="73"/>
      <c r="BB115" s="73"/>
      <c r="BC115" s="73"/>
      <c r="BD115" s="73"/>
      <c r="BE115" s="73"/>
      <c r="BF115" s="73"/>
      <c r="BG115" s="73"/>
      <c r="BH115" s="72"/>
      <c r="BI115" s="72"/>
      <c r="BJ115" s="72"/>
      <c r="BK115" s="72"/>
      <c r="BL115" s="418"/>
      <c r="BM115" s="76"/>
      <c r="BN115" s="75"/>
      <c r="BO115" s="75"/>
      <c r="BP115" s="413"/>
      <c r="BQ115" s="45"/>
      <c r="BR115" s="73"/>
      <c r="BS115" s="73"/>
      <c r="BT115" s="141"/>
      <c r="BU115" s="73"/>
      <c r="BV115" s="73"/>
      <c r="BW115" s="73"/>
      <c r="BX115" s="141"/>
      <c r="BY115" s="73"/>
      <c r="BZ115" s="73"/>
      <c r="CA115" s="73"/>
      <c r="CB115" s="45"/>
      <c r="CC115" s="130"/>
      <c r="CD115" s="45"/>
      <c r="CE115" s="45"/>
      <c r="CF115" s="23"/>
    </row>
    <row r="116" spans="1:84" ht="27" customHeight="1">
      <c r="A116" s="24"/>
      <c r="B116" s="149"/>
      <c r="G116" s="19"/>
      <c r="H116" s="448"/>
      <c r="I116" s="448"/>
      <c r="J116" s="48"/>
      <c r="K116" s="14"/>
      <c r="L116" s="449"/>
      <c r="M116" s="449"/>
      <c r="N116" s="449"/>
      <c r="O116" s="449"/>
      <c r="P116" s="449"/>
      <c r="Q116" s="449"/>
      <c r="R116" s="26"/>
      <c r="S116" s="26"/>
      <c r="T116" s="26"/>
      <c r="U116" s="20"/>
      <c r="V116" s="20"/>
      <c r="W116" s="20"/>
      <c r="X116" s="20"/>
      <c r="Y116" s="125"/>
      <c r="Z116" s="45"/>
      <c r="AA116" s="45"/>
      <c r="AB116" s="45"/>
      <c r="AC116" s="66"/>
      <c r="AD116" s="45"/>
      <c r="AE116" s="45"/>
      <c r="AF116" s="45"/>
      <c r="AG116" s="45"/>
      <c r="AH116" s="45"/>
      <c r="AI116" s="45"/>
      <c r="AJ116" s="485"/>
      <c r="AK116" s="45"/>
      <c r="AL116" s="73"/>
      <c r="AM116" s="45"/>
      <c r="AN116" s="45"/>
      <c r="AO116" s="45"/>
      <c r="AP116" s="45"/>
      <c r="AQ116" s="45"/>
      <c r="AR116" s="27"/>
      <c r="AS116" s="47"/>
      <c r="AV116" s="73"/>
      <c r="AW116" s="73"/>
      <c r="AX116" s="73"/>
      <c r="AY116" s="73"/>
      <c r="AZ116" s="73"/>
      <c r="BA116" s="73"/>
      <c r="BB116" s="73"/>
      <c r="BC116" s="73"/>
      <c r="BD116" s="73"/>
      <c r="BE116" s="73"/>
      <c r="BF116" s="73"/>
      <c r="BG116" s="73"/>
      <c r="BH116" s="72"/>
      <c r="BI116" s="72"/>
      <c r="BJ116" s="72"/>
      <c r="BK116" s="72"/>
      <c r="BL116" s="418"/>
      <c r="BM116" s="76"/>
      <c r="BN116" s="75"/>
      <c r="BO116" s="75"/>
      <c r="BP116" s="413"/>
      <c r="BQ116" s="45"/>
      <c r="BR116" s="73"/>
      <c r="BS116" s="73"/>
      <c r="BT116" s="141"/>
      <c r="BU116" s="73"/>
      <c r="BV116" s="73"/>
      <c r="BW116" s="73"/>
      <c r="BX116" s="141"/>
      <c r="BY116" s="73"/>
      <c r="BZ116" s="73"/>
      <c r="CA116" s="73"/>
      <c r="CB116" s="45"/>
      <c r="CC116" s="130"/>
      <c r="CD116" s="45"/>
      <c r="CE116" s="45"/>
      <c r="CF116" s="23"/>
    </row>
    <row r="117" spans="1:84" ht="27" customHeight="1">
      <c r="A117" s="24"/>
      <c r="B117" s="149"/>
      <c r="E117" s="362" t="s">
        <v>30</v>
      </c>
      <c r="G117" s="19"/>
      <c r="H117" s="448"/>
      <c r="I117" s="448"/>
      <c r="J117" s="48"/>
      <c r="K117" s="14"/>
      <c r="L117" s="449"/>
      <c r="M117" s="449"/>
      <c r="N117" s="449"/>
      <c r="O117" s="449"/>
      <c r="P117" s="449"/>
      <c r="Q117" s="449"/>
      <c r="R117" s="26"/>
      <c r="S117" s="26"/>
      <c r="T117" s="26"/>
      <c r="U117" s="20"/>
      <c r="V117" s="20"/>
      <c r="W117" s="20"/>
      <c r="X117" s="20"/>
      <c r="Y117" s="125"/>
      <c r="Z117" s="45"/>
      <c r="AA117" s="45"/>
      <c r="AB117" s="45"/>
      <c r="AC117" s="66"/>
      <c r="AD117" s="45"/>
      <c r="AE117" s="45"/>
      <c r="AF117" s="45"/>
      <c r="AG117" s="45"/>
      <c r="AH117" s="45"/>
      <c r="AI117" s="45"/>
      <c r="AJ117" s="485"/>
      <c r="AK117" s="45"/>
      <c r="AL117" s="73"/>
      <c r="AM117" s="45"/>
      <c r="AN117" s="45"/>
      <c r="AO117" s="45"/>
      <c r="AP117" s="45"/>
      <c r="AQ117" s="45"/>
      <c r="AR117" s="27"/>
      <c r="AS117" s="47"/>
      <c r="AV117" s="73"/>
      <c r="AW117" s="73"/>
      <c r="AX117" s="73"/>
      <c r="AY117" s="73"/>
      <c r="AZ117" s="73"/>
      <c r="BA117" s="73"/>
      <c r="BB117" s="73"/>
      <c r="BC117" s="73"/>
      <c r="BD117" s="73"/>
      <c r="BE117" s="73"/>
      <c r="BF117" s="73"/>
      <c r="BG117" s="73"/>
      <c r="BH117" s="72"/>
      <c r="BI117" s="72"/>
      <c r="BJ117" s="72"/>
      <c r="BK117" s="72"/>
      <c r="BL117" s="418"/>
      <c r="BM117" s="76"/>
      <c r="BN117" s="75"/>
      <c r="BO117" s="75"/>
      <c r="BP117" s="413"/>
      <c r="BQ117" s="45"/>
      <c r="BR117" s="73"/>
      <c r="BS117" s="73"/>
      <c r="BT117" s="141"/>
      <c r="BU117" s="73"/>
      <c r="BV117" s="73"/>
      <c r="BW117" s="73"/>
      <c r="BX117" s="141"/>
      <c r="BY117" s="73"/>
      <c r="BZ117" s="73"/>
      <c r="CA117" s="73"/>
      <c r="CB117" s="45"/>
      <c r="CC117" s="130"/>
      <c r="CD117" s="45"/>
      <c r="CE117" s="45"/>
      <c r="CF117" s="23"/>
    </row>
    <row r="118" spans="1:84" ht="27" customHeight="1">
      <c r="A118" s="24"/>
      <c r="B118" s="149"/>
      <c r="F118" s="4" t="s">
        <v>344</v>
      </c>
      <c r="G118" s="19"/>
      <c r="H118" s="1401" t="s">
        <v>345</v>
      </c>
      <c r="I118" s="1401"/>
      <c r="J118" s="48"/>
      <c r="K118" s="14"/>
      <c r="L118" s="1402" t="s">
        <v>346</v>
      </c>
      <c r="M118" s="1402"/>
      <c r="N118" s="1402"/>
      <c r="O118" s="1402"/>
      <c r="P118" s="1402"/>
      <c r="Q118" s="1402"/>
      <c r="R118" s="26"/>
      <c r="S118" s="26"/>
      <c r="T118" s="26"/>
      <c r="U118" s="20"/>
      <c r="V118" s="20"/>
      <c r="W118" s="20"/>
      <c r="X118" s="20"/>
      <c r="Y118" s="125"/>
      <c r="Z118" s="45"/>
      <c r="AA118" s="45"/>
      <c r="AB118" s="45"/>
      <c r="AC118" s="66"/>
      <c r="AD118" s="45"/>
      <c r="AE118" s="45"/>
      <c r="AF118" s="45"/>
      <c r="AG118" s="45"/>
      <c r="AH118" s="45"/>
      <c r="AI118" s="45"/>
      <c r="AJ118" s="485"/>
      <c r="AK118" s="45"/>
      <c r="AL118" s="73"/>
      <c r="AM118" s="45"/>
      <c r="AN118" s="45"/>
      <c r="AO118" s="45"/>
      <c r="AP118" s="45"/>
      <c r="AQ118" s="45"/>
      <c r="AR118" s="27"/>
      <c r="AS118" s="47"/>
      <c r="AV118" s="73"/>
      <c r="AW118" s="73"/>
      <c r="AX118" s="73"/>
      <c r="AY118" s="73"/>
      <c r="AZ118" s="73"/>
      <c r="BA118" s="73"/>
      <c r="BB118" s="73"/>
      <c r="BC118" s="73"/>
      <c r="BD118" s="73"/>
      <c r="BE118" s="73"/>
      <c r="BF118" s="73"/>
      <c r="BG118" s="73"/>
      <c r="BH118" s="72"/>
      <c r="BI118" s="72"/>
      <c r="BJ118" s="72"/>
      <c r="BK118" s="72"/>
      <c r="BL118" s="418"/>
      <c r="BM118" s="76"/>
      <c r="BN118" s="75"/>
      <c r="BO118" s="75"/>
      <c r="BP118" s="413"/>
      <c r="BQ118" s="45"/>
      <c r="BR118" s="73"/>
      <c r="BS118" s="73"/>
      <c r="BT118" s="141"/>
      <c r="BU118" s="73"/>
      <c r="BV118" s="73"/>
      <c r="BW118" s="73"/>
      <c r="BX118" s="141"/>
      <c r="BY118" s="73"/>
      <c r="BZ118" s="73"/>
      <c r="CA118" s="73"/>
      <c r="CB118" s="45"/>
      <c r="CC118" s="130"/>
      <c r="CD118" s="45"/>
      <c r="CE118" s="45"/>
      <c r="CF118" s="23"/>
    </row>
    <row r="119" spans="1:84" ht="53.25" customHeight="1">
      <c r="A119" s="24"/>
      <c r="B119" s="149"/>
      <c r="C119" s="122"/>
      <c r="D119" s="122"/>
      <c r="E119" s="28"/>
      <c r="F119" s="364" t="s">
        <v>319</v>
      </c>
      <c r="G119" s="364"/>
      <c r="H119" s="1393" t="s">
        <v>321</v>
      </c>
      <c r="I119" s="1393"/>
      <c r="J119" s="365"/>
      <c r="K119" s="366"/>
      <c r="L119" s="363" t="s">
        <v>34</v>
      </c>
      <c r="M119" s="367"/>
      <c r="N119" s="25"/>
      <c r="O119" s="25"/>
      <c r="P119" s="20"/>
      <c r="Q119" s="20"/>
      <c r="R119" s="20"/>
      <c r="S119" s="20"/>
      <c r="T119" s="20"/>
      <c r="U119" s="20"/>
      <c r="V119" s="20"/>
      <c r="W119" s="20"/>
      <c r="X119" s="20"/>
      <c r="Y119" s="125"/>
      <c r="Z119" s="45"/>
      <c r="AA119" s="45"/>
      <c r="AB119" s="45"/>
      <c r="AC119" s="66"/>
      <c r="AD119" s="45"/>
      <c r="AE119" s="45"/>
      <c r="AF119" s="45"/>
      <c r="AG119" s="45"/>
      <c r="AH119" s="45"/>
      <c r="AI119" s="45"/>
      <c r="AJ119" s="485"/>
      <c r="AK119" s="45"/>
      <c r="AL119" s="73"/>
      <c r="AM119" s="45"/>
      <c r="AN119" s="45"/>
      <c r="AO119" s="45"/>
      <c r="AP119" s="45"/>
      <c r="AQ119" s="45"/>
      <c r="AR119" s="27"/>
      <c r="AS119" s="47"/>
      <c r="AU119" s="76"/>
      <c r="AV119" s="73"/>
      <c r="AW119" s="73"/>
      <c r="AX119" s="73"/>
      <c r="AY119" s="73"/>
      <c r="AZ119" s="73"/>
      <c r="BA119" s="73"/>
      <c r="BB119" s="73"/>
      <c r="BC119" s="73"/>
      <c r="BD119" s="73"/>
      <c r="BE119" s="73"/>
      <c r="BF119" s="73"/>
      <c r="BG119" s="73"/>
      <c r="BH119" s="73"/>
      <c r="BI119" s="73"/>
      <c r="BJ119" s="73"/>
      <c r="BK119" s="73"/>
      <c r="BL119" s="415"/>
      <c r="BM119" s="75"/>
      <c r="BN119" s="75"/>
      <c r="BO119" s="75"/>
      <c r="BP119" s="414"/>
      <c r="BQ119" s="75"/>
      <c r="BR119" s="75"/>
      <c r="BS119" s="75"/>
      <c r="BT119" s="75"/>
      <c r="BU119" s="75"/>
      <c r="BV119" s="75"/>
      <c r="BW119" s="75"/>
      <c r="BX119" s="75"/>
      <c r="BY119" s="75"/>
      <c r="BZ119" s="75"/>
      <c r="CA119" s="75"/>
      <c r="CB119" s="75"/>
      <c r="CC119" s="75"/>
      <c r="CD119" s="45"/>
      <c r="CE119" s="45"/>
      <c r="CF119" s="23"/>
    </row>
    <row r="120" spans="1:84" ht="35.25" customHeight="1">
      <c r="A120" s="24"/>
      <c r="B120" s="149"/>
      <c r="C120" s="122"/>
      <c r="D120" s="122"/>
      <c r="E120" s="28"/>
      <c r="F120" s="19" t="s">
        <v>320</v>
      </c>
      <c r="G120" s="19"/>
      <c r="H120" s="1394" t="s">
        <v>322</v>
      </c>
      <c r="I120" s="1394"/>
      <c r="J120" s="12"/>
      <c r="L120" s="1395" t="s">
        <v>231</v>
      </c>
      <c r="M120" s="1395"/>
      <c r="N120" s="1395"/>
      <c r="O120" s="1395"/>
      <c r="P120" s="1395"/>
      <c r="Q120" s="1395"/>
      <c r="R120" s="20"/>
      <c r="S120" s="20"/>
      <c r="T120" s="20"/>
      <c r="U120" s="20"/>
      <c r="V120" s="20"/>
      <c r="W120" s="20"/>
      <c r="X120" s="20"/>
      <c r="Y120" s="125"/>
      <c r="Z120" s="45"/>
      <c r="AA120" s="45"/>
      <c r="AB120" s="45"/>
      <c r="AC120" s="66"/>
      <c r="AD120" s="45"/>
      <c r="AE120" s="45"/>
      <c r="AF120" s="45"/>
      <c r="AG120" s="45"/>
      <c r="AH120" s="45"/>
      <c r="AI120" s="45"/>
      <c r="AJ120" s="485"/>
      <c r="AK120" s="45"/>
      <c r="AL120" s="73"/>
      <c r="AM120" s="45"/>
      <c r="AN120" s="45"/>
      <c r="AO120" s="45"/>
      <c r="AP120" s="45"/>
      <c r="AQ120" s="45"/>
      <c r="AR120" s="27"/>
      <c r="AS120" s="47"/>
      <c r="AU120" s="74"/>
      <c r="AV120" s="73"/>
      <c r="AW120" s="73"/>
      <c r="AX120" s="73"/>
      <c r="AY120" s="73"/>
      <c r="AZ120" s="73"/>
      <c r="BA120" s="73"/>
      <c r="BB120" s="73"/>
      <c r="BC120" s="73"/>
      <c r="BD120" s="73"/>
      <c r="BE120" s="73"/>
      <c r="BF120" s="73"/>
      <c r="BG120" s="73"/>
      <c r="BH120" s="73"/>
      <c r="BI120" s="73"/>
      <c r="BJ120" s="73"/>
      <c r="BK120" s="73"/>
      <c r="BL120" s="415"/>
      <c r="BM120" s="75"/>
      <c r="BN120" s="75"/>
      <c r="BO120" s="75"/>
      <c r="BP120" s="141"/>
      <c r="BQ120" s="73"/>
      <c r="BR120" s="73"/>
      <c r="BS120" s="73"/>
      <c r="BT120" s="141"/>
      <c r="BU120" s="73"/>
      <c r="BV120" s="73"/>
      <c r="BW120" s="73"/>
      <c r="BX120" s="141"/>
      <c r="BY120" s="73"/>
      <c r="BZ120" s="73"/>
      <c r="CA120" s="73"/>
      <c r="CB120" s="45"/>
      <c r="CC120" s="130"/>
      <c r="CD120" s="45"/>
      <c r="CE120" s="45"/>
      <c r="CF120" s="23"/>
    </row>
    <row r="121" spans="1:83" ht="11.25">
      <c r="A121" s="24"/>
      <c r="B121" s="150"/>
      <c r="C121" s="123"/>
      <c r="D121" s="123"/>
      <c r="E121" s="1"/>
      <c r="F121" s="2"/>
      <c r="G121" s="2"/>
      <c r="H121" s="1"/>
      <c r="I121" s="50"/>
      <c r="J121" s="50"/>
      <c r="K121" s="18"/>
      <c r="L121" s="24"/>
      <c r="M121" s="24"/>
      <c r="N121" s="24"/>
      <c r="O121" s="24"/>
      <c r="P121" s="24"/>
      <c r="Q121" s="24"/>
      <c r="R121" s="24"/>
      <c r="S121" s="24"/>
      <c r="T121" s="24"/>
      <c r="U121" s="24"/>
      <c r="V121" s="24"/>
      <c r="W121" s="24"/>
      <c r="X121" s="24"/>
      <c r="Y121" s="125"/>
      <c r="Z121" s="50"/>
      <c r="AA121" s="50"/>
      <c r="AB121" s="50"/>
      <c r="AC121" s="66"/>
      <c r="AD121" s="50"/>
      <c r="AE121" s="50"/>
      <c r="AF121" s="50"/>
      <c r="AG121" s="50"/>
      <c r="AH121" s="50"/>
      <c r="AI121" s="50"/>
      <c r="AJ121" s="486"/>
      <c r="AK121" s="50"/>
      <c r="AL121" s="77"/>
      <c r="AM121" s="50"/>
      <c r="AN121" s="50"/>
      <c r="AO121" s="50"/>
      <c r="AP121" s="50"/>
      <c r="AQ121" s="50"/>
      <c r="AR121" s="576"/>
      <c r="AU121" s="77"/>
      <c r="AV121" s="77"/>
      <c r="AW121" s="77"/>
      <c r="AX121" s="77"/>
      <c r="AY121" s="77"/>
      <c r="AZ121" s="77"/>
      <c r="BA121" s="77"/>
      <c r="BB121" s="77"/>
      <c r="BC121" s="77"/>
      <c r="BD121" s="77"/>
      <c r="BE121" s="77"/>
      <c r="BF121" s="77"/>
      <c r="BG121" s="77"/>
      <c r="BH121" s="77"/>
      <c r="BI121" s="77"/>
      <c r="BJ121" s="77"/>
      <c r="BK121" s="77"/>
      <c r="BL121" s="419"/>
      <c r="BM121" s="78"/>
      <c r="BN121" s="78"/>
      <c r="BO121" s="78"/>
      <c r="BP121" s="379"/>
      <c r="BQ121" s="77"/>
      <c r="BR121" s="77"/>
      <c r="BS121" s="77"/>
      <c r="BT121" s="379"/>
      <c r="BU121" s="77"/>
      <c r="BV121" s="77"/>
      <c r="BW121" s="77"/>
      <c r="BX121" s="379"/>
      <c r="BY121" s="77"/>
      <c r="BZ121" s="77"/>
      <c r="CA121" s="77"/>
      <c r="CB121" s="50"/>
      <c r="CC121" s="130"/>
      <c r="CD121" s="50"/>
      <c r="CE121" s="50"/>
    </row>
    <row r="122" spans="1:83" ht="15" customHeight="1">
      <c r="A122" s="24"/>
      <c r="B122" s="150"/>
      <c r="C122" s="123"/>
      <c r="D122" s="123"/>
      <c r="E122" s="1"/>
      <c r="F122" s="2"/>
      <c r="G122" s="2"/>
      <c r="H122" s="1"/>
      <c r="I122" s="50"/>
      <c r="J122" s="50"/>
      <c r="K122" s="1"/>
      <c r="L122" s="24"/>
      <c r="M122" s="24"/>
      <c r="N122" s="24"/>
      <c r="O122" s="24"/>
      <c r="P122" s="24"/>
      <c r="Q122" s="24"/>
      <c r="R122" s="24"/>
      <c r="S122" s="24"/>
      <c r="T122" s="24"/>
      <c r="U122" s="24"/>
      <c r="V122" s="24"/>
      <c r="W122" s="24"/>
      <c r="X122" s="24"/>
      <c r="Y122" s="125"/>
      <c r="Z122" s="50"/>
      <c r="AA122" s="50"/>
      <c r="AB122" s="50"/>
      <c r="AC122" s="66"/>
      <c r="AD122" s="50"/>
      <c r="AE122" s="50"/>
      <c r="AF122" s="50"/>
      <c r="AG122" s="50"/>
      <c r="AH122" s="50"/>
      <c r="AI122" s="50"/>
      <c r="AJ122" s="486"/>
      <c r="AK122" s="50"/>
      <c r="AL122" s="77"/>
      <c r="AM122" s="50"/>
      <c r="AN122" s="50"/>
      <c r="AO122" s="50"/>
      <c r="AP122" s="50"/>
      <c r="AQ122" s="50"/>
      <c r="AR122" s="576"/>
      <c r="AU122" s="77"/>
      <c r="AV122" s="77"/>
      <c r="AW122" s="77"/>
      <c r="AX122" s="77"/>
      <c r="AY122" s="77"/>
      <c r="AZ122" s="77"/>
      <c r="BA122" s="77"/>
      <c r="BB122" s="77"/>
      <c r="BC122" s="77"/>
      <c r="BD122" s="77"/>
      <c r="BE122" s="77"/>
      <c r="BF122" s="77"/>
      <c r="BG122" s="77"/>
      <c r="BH122" s="77"/>
      <c r="BI122" s="77"/>
      <c r="BJ122" s="77"/>
      <c r="BK122" s="77"/>
      <c r="BL122" s="419"/>
      <c r="BM122" s="78"/>
      <c r="BN122" s="78"/>
      <c r="BO122" s="78"/>
      <c r="BP122" s="379"/>
      <c r="BQ122" s="77"/>
      <c r="BR122" s="77"/>
      <c r="BS122" s="77"/>
      <c r="BT122" s="379"/>
      <c r="BU122" s="77"/>
      <c r="BV122" s="77"/>
      <c r="BW122" s="77"/>
      <c r="BX122" s="379"/>
      <c r="BY122" s="77"/>
      <c r="BZ122" s="77"/>
      <c r="CA122" s="77"/>
      <c r="CB122" s="50"/>
      <c r="CC122" s="130"/>
      <c r="CD122" s="50"/>
      <c r="CE122" s="50"/>
    </row>
    <row r="123" spans="1:83" ht="11.25">
      <c r="A123" s="24"/>
      <c r="B123" s="150"/>
      <c r="F123" s="2"/>
      <c r="G123" s="2"/>
      <c r="H123" s="1"/>
      <c r="I123" s="50"/>
      <c r="J123" s="50"/>
      <c r="K123" s="1"/>
      <c r="L123" s="29"/>
      <c r="M123" s="29"/>
      <c r="N123" s="29"/>
      <c r="O123" s="29"/>
      <c r="P123" s="29"/>
      <c r="Q123" s="29"/>
      <c r="R123" s="29"/>
      <c r="S123" s="29"/>
      <c r="T123" s="29"/>
      <c r="U123" s="29"/>
      <c r="V123" s="29"/>
      <c r="W123" s="29"/>
      <c r="X123" s="24"/>
      <c r="Y123" s="125"/>
      <c r="Z123" s="50"/>
      <c r="AA123" s="50"/>
      <c r="AB123" s="50"/>
      <c r="AC123" s="66"/>
      <c r="AD123" s="50"/>
      <c r="AE123" s="50"/>
      <c r="AF123" s="50"/>
      <c r="AG123" s="50"/>
      <c r="AH123" s="50"/>
      <c r="AI123" s="50"/>
      <c r="AJ123" s="486"/>
      <c r="AK123" s="50"/>
      <c r="AL123" s="77"/>
      <c r="AM123" s="50"/>
      <c r="AN123" s="50"/>
      <c r="AO123" s="50"/>
      <c r="AP123" s="50"/>
      <c r="AQ123" s="50"/>
      <c r="AR123" s="576"/>
      <c r="AU123" s="77"/>
      <c r="AV123" s="77"/>
      <c r="AW123" s="77"/>
      <c r="AX123" s="77"/>
      <c r="AY123" s="77"/>
      <c r="AZ123" s="77"/>
      <c r="BA123" s="77"/>
      <c r="BB123" s="77"/>
      <c r="BC123" s="77"/>
      <c r="BD123" s="77"/>
      <c r="BE123" s="77"/>
      <c r="BF123" s="77"/>
      <c r="BG123" s="77"/>
      <c r="BH123" s="77"/>
      <c r="BI123" s="77"/>
      <c r="BJ123" s="77"/>
      <c r="BK123" s="77"/>
      <c r="BL123" s="419"/>
      <c r="BM123" s="78"/>
      <c r="BN123" s="78"/>
      <c r="BO123" s="78"/>
      <c r="BP123" s="379"/>
      <c r="BQ123" s="77"/>
      <c r="BR123" s="77"/>
      <c r="BS123" s="77"/>
      <c r="BT123" s="379"/>
      <c r="BU123" s="77"/>
      <c r="BV123" s="77"/>
      <c r="BW123" s="77"/>
      <c r="BX123" s="379"/>
      <c r="BY123" s="77"/>
      <c r="BZ123" s="77"/>
      <c r="CA123" s="77"/>
      <c r="CB123" s="50"/>
      <c r="CC123" s="130"/>
      <c r="CD123" s="50"/>
      <c r="CE123" s="50"/>
    </row>
    <row r="124" spans="2:11" ht="11.25">
      <c r="B124" s="151" t="s">
        <v>31</v>
      </c>
      <c r="K124" s="1"/>
    </row>
  </sheetData>
  <sheetProtection/>
  <mergeCells count="270">
    <mergeCell ref="B3:E3"/>
    <mergeCell ref="CC9:CC11"/>
    <mergeCell ref="CD9:CD11"/>
    <mergeCell ref="CE9:CE11"/>
    <mergeCell ref="CF9:CF11"/>
    <mergeCell ref="B10:B11"/>
    <mergeCell ref="C10:C11"/>
    <mergeCell ref="D10:D11"/>
    <mergeCell ref="E10:E11"/>
    <mergeCell ref="F10:F11"/>
    <mergeCell ref="G10:G11"/>
    <mergeCell ref="H10:H11"/>
    <mergeCell ref="I10:I11"/>
    <mergeCell ref="J10:J11"/>
    <mergeCell ref="K10:K11"/>
    <mergeCell ref="Q10:U10"/>
    <mergeCell ref="X10:X11"/>
    <mergeCell ref="Y10:Y11"/>
    <mergeCell ref="AZ10:BD10"/>
    <mergeCell ref="BK10:BK11"/>
    <mergeCell ref="BL10:BL11"/>
    <mergeCell ref="T14:X14"/>
    <mergeCell ref="B18:B19"/>
    <mergeCell ref="C18:C19"/>
    <mergeCell ref="D18:D19"/>
    <mergeCell ref="E18:E19"/>
    <mergeCell ref="F18:F19"/>
    <mergeCell ref="G18:G19"/>
    <mergeCell ref="H18:H19"/>
    <mergeCell ref="I18:I19"/>
    <mergeCell ref="J18:J19"/>
    <mergeCell ref="K18:K19"/>
    <mergeCell ref="Q18:U18"/>
    <mergeCell ref="X18:X19"/>
    <mergeCell ref="Y18:Y19"/>
    <mergeCell ref="AZ18:BD18"/>
    <mergeCell ref="BK18:BK19"/>
    <mergeCell ref="BL18:BL19"/>
    <mergeCell ref="CC18:CC19"/>
    <mergeCell ref="CD18:CD19"/>
    <mergeCell ref="CE18:CE19"/>
    <mergeCell ref="CF18:CF19"/>
    <mergeCell ref="T28:X28"/>
    <mergeCell ref="BR31:BT31"/>
    <mergeCell ref="B32:B33"/>
    <mergeCell ref="C32:C33"/>
    <mergeCell ref="D32:D33"/>
    <mergeCell ref="F32:F33"/>
    <mergeCell ref="G32:G33"/>
    <mergeCell ref="H32:H33"/>
    <mergeCell ref="CD32:CD33"/>
    <mergeCell ref="E35:E43"/>
    <mergeCell ref="F35:F36"/>
    <mergeCell ref="G35:G36"/>
    <mergeCell ref="H35:H36"/>
    <mergeCell ref="I35:I36"/>
    <mergeCell ref="I32:I33"/>
    <mergeCell ref="J32:J33"/>
    <mergeCell ref="K32:K33"/>
    <mergeCell ref="Q32:U32"/>
    <mergeCell ref="AZ32:BD32"/>
    <mergeCell ref="BK32:BK33"/>
    <mergeCell ref="BL32:BL33"/>
    <mergeCell ref="CC32:CC33"/>
    <mergeCell ref="X32:X33"/>
    <mergeCell ref="Y32:Y33"/>
    <mergeCell ref="AR51:AR52"/>
    <mergeCell ref="CF51:CF52"/>
    <mergeCell ref="P35:P36"/>
    <mergeCell ref="Q35:Q36"/>
    <mergeCell ref="R35:R36"/>
    <mergeCell ref="S35:S36"/>
    <mergeCell ref="T35:T36"/>
    <mergeCell ref="U35:U36"/>
    <mergeCell ref="V35:V36"/>
    <mergeCell ref="W35:W36"/>
    <mergeCell ref="X35:X36"/>
    <mergeCell ref="E51:E52"/>
    <mergeCell ref="J35:J36"/>
    <mergeCell ref="K35:K36"/>
    <mergeCell ref="L35:L36"/>
    <mergeCell ref="M35:M36"/>
    <mergeCell ref="N35:N36"/>
    <mergeCell ref="O35:O36"/>
    <mergeCell ref="BL57:BL58"/>
    <mergeCell ref="B57:B58"/>
    <mergeCell ref="C57:C58"/>
    <mergeCell ref="D57:D58"/>
    <mergeCell ref="F57:F58"/>
    <mergeCell ref="G57:G58"/>
    <mergeCell ref="H57:H58"/>
    <mergeCell ref="I57:I58"/>
    <mergeCell ref="J57:J58"/>
    <mergeCell ref="K57:K58"/>
    <mergeCell ref="CC57:CC58"/>
    <mergeCell ref="CD57:CD58"/>
    <mergeCell ref="E60:E63"/>
    <mergeCell ref="CF65:CF67"/>
    <mergeCell ref="E66:E68"/>
    <mergeCell ref="Q57:U57"/>
    <mergeCell ref="X57:X58"/>
    <mergeCell ref="Y57:Y58"/>
    <mergeCell ref="AZ57:BD57"/>
    <mergeCell ref="BK57:BK58"/>
    <mergeCell ref="E70:E71"/>
    <mergeCell ref="F70:F71"/>
    <mergeCell ref="H70:H71"/>
    <mergeCell ref="E73:E74"/>
    <mergeCell ref="F73:F74"/>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W73:W74"/>
    <mergeCell ref="X73:X74"/>
    <mergeCell ref="Z73:Z74"/>
    <mergeCell ref="AA73:AA74"/>
    <mergeCell ref="AN73:AN74"/>
    <mergeCell ref="AB73:AB74"/>
    <mergeCell ref="AC73:AC74"/>
    <mergeCell ref="AD73:AD74"/>
    <mergeCell ref="AE73:AE74"/>
    <mergeCell ref="AF73:AF74"/>
    <mergeCell ref="AG73:AG74"/>
    <mergeCell ref="AO73:AO74"/>
    <mergeCell ref="AP73:AP74"/>
    <mergeCell ref="AR73:AR74"/>
    <mergeCell ref="AS73:AS74"/>
    <mergeCell ref="E75:E76"/>
    <mergeCell ref="AH73:AH74"/>
    <mergeCell ref="AI73:AI74"/>
    <mergeCell ref="AJ73:AJ74"/>
    <mergeCell ref="AK73:AK74"/>
    <mergeCell ref="AM73:AM74"/>
    <mergeCell ref="T77:X77"/>
    <mergeCell ref="F79:F81"/>
    <mergeCell ref="G79:G80"/>
    <mergeCell ref="H79:H81"/>
    <mergeCell ref="I79:I81"/>
    <mergeCell ref="J79:J81"/>
    <mergeCell ref="K79:K81"/>
    <mergeCell ref="CC79:CC80"/>
    <mergeCell ref="CD79:CD80"/>
    <mergeCell ref="CE79:CE80"/>
    <mergeCell ref="CF79:CF80"/>
    <mergeCell ref="B80:B81"/>
    <mergeCell ref="C80:C81"/>
    <mergeCell ref="D80:D81"/>
    <mergeCell ref="BK80:BK81"/>
    <mergeCell ref="BL80:BL81"/>
    <mergeCell ref="E84:E85"/>
    <mergeCell ref="T86:X86"/>
    <mergeCell ref="B90:B91"/>
    <mergeCell ref="C90:C91"/>
    <mergeCell ref="D90:D91"/>
    <mergeCell ref="E90:E91"/>
    <mergeCell ref="F90:F91"/>
    <mergeCell ref="G90:G91"/>
    <mergeCell ref="H90:H91"/>
    <mergeCell ref="I90:I91"/>
    <mergeCell ref="J90:J91"/>
    <mergeCell ref="K90:K91"/>
    <mergeCell ref="Q90:U90"/>
    <mergeCell ref="AZ90:BD90"/>
    <mergeCell ref="BK90:BK91"/>
    <mergeCell ref="BL90:BL91"/>
    <mergeCell ref="CC90:CC91"/>
    <mergeCell ref="CD90:CD91"/>
    <mergeCell ref="CE90:CE91"/>
    <mergeCell ref="CF90:CF91"/>
    <mergeCell ref="T94:X94"/>
    <mergeCell ref="B98:B99"/>
    <mergeCell ref="C98:C99"/>
    <mergeCell ref="D98:D99"/>
    <mergeCell ref="F98:F99"/>
    <mergeCell ref="G98:G99"/>
    <mergeCell ref="H98:H99"/>
    <mergeCell ref="I98:I99"/>
    <mergeCell ref="J98:J99"/>
    <mergeCell ref="K98:K99"/>
    <mergeCell ref="Q98:U98"/>
    <mergeCell ref="AQ98:AQ99"/>
    <mergeCell ref="AR98:AR99"/>
    <mergeCell ref="AS98:AS99"/>
    <mergeCell ref="AZ98:BD98"/>
    <mergeCell ref="BK98:BK99"/>
    <mergeCell ref="BL98:BL99"/>
    <mergeCell ref="CC98:CC99"/>
    <mergeCell ref="CD98:CD99"/>
    <mergeCell ref="CE98:CE99"/>
    <mergeCell ref="CF98:CF99"/>
    <mergeCell ref="B105:B106"/>
    <mergeCell ref="C105:C106"/>
    <mergeCell ref="D105:D106"/>
    <mergeCell ref="E105:E106"/>
    <mergeCell ref="F105:F106"/>
    <mergeCell ref="G105:G106"/>
    <mergeCell ref="H105:H106"/>
    <mergeCell ref="I105:I106"/>
    <mergeCell ref="J105:J106"/>
    <mergeCell ref="K105:K106"/>
    <mergeCell ref="Q105:U105"/>
    <mergeCell ref="AQ105:AQ106"/>
    <mergeCell ref="AR105:AR106"/>
    <mergeCell ref="AS105:AS106"/>
    <mergeCell ref="AZ105:BD105"/>
    <mergeCell ref="BK105:BK106"/>
    <mergeCell ref="BL105:BL106"/>
    <mergeCell ref="CC105:CC106"/>
    <mergeCell ref="CD105:CD106"/>
    <mergeCell ref="CE105:CE106"/>
    <mergeCell ref="CF105:CF106"/>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V108:V109"/>
    <mergeCell ref="W108:W109"/>
    <mergeCell ref="X108:X109"/>
    <mergeCell ref="Z108:Z109"/>
    <mergeCell ref="AA108:AA109"/>
    <mergeCell ref="AB108:AB109"/>
    <mergeCell ref="AC108:AC109"/>
    <mergeCell ref="AD108:AD109"/>
    <mergeCell ref="AE108:AE109"/>
    <mergeCell ref="AM108:AM109"/>
    <mergeCell ref="AN108:AN109"/>
    <mergeCell ref="AO108:AO109"/>
    <mergeCell ref="AP108:AP109"/>
    <mergeCell ref="AF108:AF109"/>
    <mergeCell ref="AG108:AG109"/>
    <mergeCell ref="AH108:AH109"/>
    <mergeCell ref="AI108:AI109"/>
    <mergeCell ref="AJ108:AJ109"/>
    <mergeCell ref="AK108:AK109"/>
    <mergeCell ref="BE112:BJ112"/>
    <mergeCell ref="H119:I119"/>
    <mergeCell ref="H120:I120"/>
    <mergeCell ref="L120:Q120"/>
    <mergeCell ref="B113:C113"/>
    <mergeCell ref="E113:K113"/>
    <mergeCell ref="E114:K114"/>
    <mergeCell ref="E115:K115"/>
    <mergeCell ref="H118:I118"/>
    <mergeCell ref="L118:Q118"/>
  </mergeCells>
  <printOptions/>
  <pageMargins left="0" right="0" top="0.15748031496062992" bottom="0" header="0.31496062992125984" footer="0"/>
  <pageSetup horizontalDpi="300" verticalDpi="3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cillescas</cp:lastModifiedBy>
  <cp:lastPrinted>2016-12-16T13:49:54Z</cp:lastPrinted>
  <dcterms:created xsi:type="dcterms:W3CDTF">2014-04-21T17:51:38Z</dcterms:created>
  <dcterms:modified xsi:type="dcterms:W3CDTF">2016-12-20T20:21:03Z</dcterms:modified>
  <cp:category/>
  <cp:version/>
  <cp:contentType/>
  <cp:contentStatus/>
</cp:coreProperties>
</file>